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第二次校內午餐供應委員會0109\"/>
    </mc:Choice>
  </mc:AlternateContent>
  <bookViews>
    <workbookView xWindow="-120" yWindow="-120" windowWidth="29040" windowHeight="15840" activeTab="1"/>
  </bookViews>
  <sheets>
    <sheet name="葷" sheetId="1" r:id="rId1"/>
    <sheet name="菜單明細" sheetId="2" r:id="rId2"/>
    <sheet name="素" sheetId="3" state="hidden" r:id="rId3"/>
  </sheets>
  <definedNames>
    <definedName name="_xlnm.Print_Area" localSheetId="2">素!$A$1:$M$44</definedName>
    <definedName name="_xlnm.Print_Area" localSheetId="1">菜單明細!$A$1:$D$118</definedName>
    <definedName name="_xlnm.Print_Area" localSheetId="0">葷!$A$1:$N$48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" i="2" l="1"/>
  <c r="B59" i="2"/>
  <c r="B58" i="2"/>
  <c r="B57" i="2"/>
  <c r="B56" i="2"/>
  <c r="B55" i="2"/>
  <c r="B93" i="2"/>
  <c r="B92" i="2"/>
  <c r="B91" i="2"/>
  <c r="B90" i="2"/>
  <c r="B89" i="2"/>
  <c r="F93" i="2"/>
  <c r="A90" i="2"/>
  <c r="N26" i="1"/>
  <c r="N17" i="1" l="1"/>
  <c r="M17" i="1"/>
  <c r="M30" i="3" l="1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B11" i="2"/>
  <c r="B6" i="2"/>
  <c r="B115" i="2" l="1"/>
  <c r="B111" i="2" l="1"/>
  <c r="B110" i="2"/>
  <c r="B109" i="2"/>
  <c r="B108" i="2"/>
  <c r="B107" i="2"/>
  <c r="B12" i="2"/>
  <c r="B10" i="2"/>
  <c r="B9" i="2"/>
  <c r="B8" i="2"/>
  <c r="E12" i="2"/>
  <c r="E10" i="2"/>
  <c r="E9" i="2"/>
  <c r="A9" i="2"/>
  <c r="E8" i="2"/>
  <c r="B7" i="2"/>
  <c r="B5" i="2"/>
  <c r="B4" i="2"/>
  <c r="B3" i="2"/>
  <c r="B116" i="2"/>
  <c r="B114" i="2"/>
  <c r="B113" i="2"/>
  <c r="B112" i="2"/>
  <c r="F12" i="2" l="1"/>
  <c r="N30" i="1"/>
  <c r="N8" i="1"/>
  <c r="N31" i="1"/>
  <c r="B26" i="2"/>
  <c r="B25" i="2"/>
  <c r="B24" i="2"/>
  <c r="B23" i="2"/>
  <c r="B22" i="2"/>
  <c r="N14" i="1"/>
  <c r="N12" i="1"/>
  <c r="B40" i="2"/>
  <c r="B39" i="2"/>
  <c r="B38" i="2"/>
  <c r="B37" i="2"/>
  <c r="B36" i="2"/>
  <c r="N15" i="1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4" i="2"/>
  <c r="B63" i="2"/>
  <c r="B62" i="2"/>
  <c r="B61" i="2"/>
  <c r="B60" i="2"/>
  <c r="B54" i="2"/>
  <c r="B53" i="2"/>
  <c r="B52" i="2"/>
  <c r="B51" i="2"/>
  <c r="B50" i="2"/>
  <c r="B45" i="2"/>
  <c r="B44" i="2"/>
  <c r="B43" i="2"/>
  <c r="B42" i="2"/>
  <c r="B41" i="2"/>
  <c r="B31" i="2"/>
  <c r="B30" i="2"/>
  <c r="B29" i="2"/>
  <c r="B28" i="2"/>
  <c r="B27" i="2"/>
  <c r="B21" i="2"/>
  <c r="B20" i="2"/>
  <c r="B19" i="2"/>
  <c r="B18" i="2"/>
  <c r="B17" i="2"/>
  <c r="N29" i="1"/>
  <c r="N28" i="1"/>
  <c r="N9" i="1"/>
  <c r="E111" i="2"/>
  <c r="E108" i="2"/>
  <c r="A108" i="2"/>
  <c r="E107" i="2"/>
  <c r="E106" i="2"/>
  <c r="E104" i="2"/>
  <c r="E103" i="2"/>
  <c r="A103" i="2"/>
  <c r="E102" i="2"/>
  <c r="E101" i="2"/>
  <c r="E100" i="2"/>
  <c r="A100" i="2"/>
  <c r="E99" i="2"/>
  <c r="E98" i="2"/>
  <c r="E97" i="2"/>
  <c r="E96" i="2"/>
  <c r="E95" i="2"/>
  <c r="A95" i="2"/>
  <c r="F88" i="2"/>
  <c r="A85" i="2"/>
  <c r="E83" i="2"/>
  <c r="E82" i="2"/>
  <c r="E81" i="2"/>
  <c r="E80" i="2"/>
  <c r="A80" i="2"/>
  <c r="E78" i="2"/>
  <c r="E77" i="2"/>
  <c r="E76" i="2"/>
  <c r="E75" i="2"/>
  <c r="A75" i="2"/>
  <c r="E73" i="2"/>
  <c r="E72" i="2"/>
  <c r="E71" i="2"/>
  <c r="E70" i="2"/>
  <c r="A70" i="2"/>
  <c r="E68" i="2"/>
  <c r="E67" i="2"/>
  <c r="E66" i="2"/>
  <c r="A66" i="2"/>
  <c r="E64" i="2"/>
  <c r="E62" i="2"/>
  <c r="E61" i="2"/>
  <c r="A61" i="2"/>
  <c r="E60" i="2"/>
  <c r="E59" i="2"/>
  <c r="E58" i="2"/>
  <c r="E56" i="2"/>
  <c r="A56" i="2"/>
  <c r="E55" i="2"/>
  <c r="E54" i="2"/>
  <c r="E53" i="2"/>
  <c r="E52" i="2"/>
  <c r="E51" i="2"/>
  <c r="A51" i="2"/>
  <c r="E50" i="2"/>
  <c r="E49" i="2"/>
  <c r="E48" i="2"/>
  <c r="E47" i="2"/>
  <c r="A47" i="2"/>
  <c r="E46" i="2"/>
  <c r="E45" i="2"/>
  <c r="E44" i="2"/>
  <c r="E43" i="2"/>
  <c r="E42" i="2"/>
  <c r="A42" i="2"/>
  <c r="E40" i="2"/>
  <c r="E38" i="2"/>
  <c r="E37" i="2"/>
  <c r="A37" i="2"/>
  <c r="E36" i="2"/>
  <c r="E35" i="2"/>
  <c r="E34" i="2"/>
  <c r="E33" i="2"/>
  <c r="A33" i="2"/>
  <c r="E32" i="2"/>
  <c r="E31" i="2"/>
  <c r="E30" i="2"/>
  <c r="E29" i="2"/>
  <c r="E28" i="2"/>
  <c r="A28" i="2"/>
  <c r="E26" i="2"/>
  <c r="E24" i="2"/>
  <c r="E23" i="2"/>
  <c r="A23" i="2"/>
  <c r="E22" i="2"/>
  <c r="E21" i="2"/>
  <c r="E20" i="2"/>
  <c r="E19" i="2"/>
  <c r="E18" i="2"/>
  <c r="A18" i="2"/>
  <c r="E16" i="2"/>
  <c r="E15" i="2"/>
  <c r="E14" i="2"/>
  <c r="A14" i="2"/>
  <c r="E13" i="2"/>
  <c r="E7" i="2"/>
  <c r="E5" i="2"/>
  <c r="E4" i="2"/>
  <c r="A4" i="2"/>
  <c r="E3" i="2"/>
  <c r="E116" i="2"/>
  <c r="E114" i="2"/>
  <c r="E113" i="2"/>
  <c r="E112" i="2"/>
  <c r="N27" i="1"/>
  <c r="N25" i="1"/>
  <c r="N24" i="1"/>
  <c r="N23" i="1"/>
  <c r="N22" i="1"/>
  <c r="N21" i="1"/>
  <c r="N20" i="1"/>
  <c r="N19" i="1"/>
  <c r="N18" i="1"/>
  <c r="N16" i="1"/>
  <c r="N13" i="1"/>
  <c r="N11" i="1"/>
  <c r="N10" i="1"/>
  <c r="F78" i="2" l="1"/>
  <c r="F40" i="2"/>
  <c r="F49" i="2"/>
  <c r="M19" i="1" s="1"/>
  <c r="F64" i="2"/>
  <c r="F68" i="2"/>
  <c r="F73" i="2"/>
  <c r="F83" i="2"/>
  <c r="F111" i="2"/>
  <c r="F31" i="2"/>
  <c r="F116" i="2"/>
  <c r="F7" i="2"/>
  <c r="F16" i="2"/>
  <c r="F21" i="2"/>
  <c r="F35" i="2"/>
  <c r="F45" i="2"/>
  <c r="F54" i="2"/>
  <c r="F59" i="2"/>
  <c r="F98" i="2"/>
  <c r="F101" i="2"/>
  <c r="F106" i="2"/>
  <c r="F118" i="2" l="1"/>
  <c r="F119" i="2"/>
</calcChain>
</file>

<file path=xl/sharedStrings.xml><?xml version="1.0" encoding="utf-8"?>
<sst xmlns="http://schemas.openxmlformats.org/spreadsheetml/2006/main" count="548" uniqueCount="321">
  <si>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</si>
  <si>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</si>
  <si>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</si>
  <si>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</si>
  <si>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</si>
  <si>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</si>
  <si>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</t>
    <phoneticPr fontId="3" type="noConversion"/>
  </si>
  <si>
    <r>
      <t>全穀根莖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</si>
  <si>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豆魚肉蛋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</si>
  <si>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蔬菜類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</si>
  <si>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</si>
  <si>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水果類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</si>
  <si>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t>鈣含量(mg)</t>
    <phoneticPr fontId="3" type="noConversion"/>
  </si>
  <si>
    <r>
      <t>熱量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大卡</t>
    </r>
    <r>
      <rPr>
        <sz val="8"/>
        <rFont val="Times New Roman"/>
        <family val="1"/>
      </rPr>
      <t>)</t>
    </r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</si>
  <si>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</si>
  <si>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</si>
  <si>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</si>
  <si>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</si>
  <si>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</si>
  <si>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教育部-學校午餐食物內容及營養基準</t>
    <phoneticPr fontId="3" type="noConversion"/>
  </si>
  <si>
    <t>單位：每人每日應供應份數(一週平均值)</t>
    <phoneticPr fontId="3" type="noConversion"/>
  </si>
  <si>
    <t>☆食材來源:本公司食材均選用通過CAS、HACCP認證之合格廠商</t>
    <phoneticPr fontId="3" type="noConversion"/>
  </si>
  <si>
    <t>☆菜色之食材內容如遇氣候因素而有變動，敬請見諒！</t>
    <phoneticPr fontId="3" type="noConversion"/>
  </si>
  <si>
    <t>☆目前所提供之豆製品、玉米粒、黃豆、毛豆皆為非基因改造食材</t>
    <phoneticPr fontId="3" type="noConversion"/>
  </si>
  <si>
    <t>☆易致過敏原食材：蛋、蝦、蟹、芒果、花生、牛奶及其製品。「     *    」記號為易過敏原食材</t>
  </si>
  <si>
    <t>菜餚</t>
    <phoneticPr fontId="3" type="noConversion"/>
  </si>
  <si>
    <t>總食材</t>
  </si>
  <si>
    <t>烹調方式</t>
    <phoneticPr fontId="3" type="noConversion"/>
  </si>
  <si>
    <t>二</t>
    <phoneticPr fontId="3" type="noConversion"/>
  </si>
  <si>
    <t>1-3年級</t>
  </si>
  <si>
    <t>4-6年級</t>
  </si>
  <si>
    <t>☆每週二供應補助有機白米一次</t>
    <phoneticPr fontId="3" type="noConversion"/>
  </si>
  <si>
    <t>☆菜色優先使用CAS、臺灣有機農產品、產銷履歷、Qrcode、TQF之認證食材，內容如遇氣候因素而有變動，敬請見諒！</t>
    <phoneticPr fontId="3" type="noConversion"/>
  </si>
  <si>
    <t>☆本校一律使用臺灣國產豬肉食材</t>
    <phoneticPr fontId="3" type="noConversion"/>
  </si>
  <si>
    <t>☆菜單中「      」記號為健腦食材，「       」記號為蔬食日，「      」記號為特餐，「      」記號為有機日，「  *  」記號為易過敏原食材</t>
    <phoneticPr fontId="3" type="noConversion"/>
  </si>
  <si>
    <t>有機白米飯</t>
    <phoneticPr fontId="3" type="noConversion"/>
  </si>
  <si>
    <t>番茄豆皮高麗菜</t>
    <phoneticPr fontId="3" type="noConversion"/>
  </si>
  <si>
    <t>補助有機青菜</t>
    <phoneticPr fontId="3" type="noConversion"/>
  </si>
  <si>
    <t>糙米飯</t>
    <phoneticPr fontId="3" type="noConversion"/>
  </si>
  <si>
    <t>山藥紅棗燉雞</t>
    <phoneticPr fontId="3" type="noConversion"/>
  </si>
  <si>
    <t>紅燒豆腐</t>
    <phoneticPr fontId="3" type="noConversion"/>
  </si>
  <si>
    <t>芋頭飯</t>
    <phoneticPr fontId="3" type="noConversion"/>
  </si>
  <si>
    <t>＊洋蔥炒蛋</t>
    <phoneticPr fontId="3" type="noConversion"/>
  </si>
  <si>
    <t>(熱)燒仙草甜湯</t>
    <phoneticPr fontId="3" type="noConversion"/>
  </si>
  <si>
    <t>毛豆仁紅藜飯</t>
    <phoneticPr fontId="3" type="noConversion"/>
  </si>
  <si>
    <t>黑輪筑前煮</t>
    <phoneticPr fontId="3" type="noConversion"/>
  </si>
  <si>
    <t>小魚豆腐湯</t>
    <phoneticPr fontId="3" type="noConversion"/>
  </si>
  <si>
    <t>四神湯</t>
    <phoneticPr fontId="3" type="noConversion"/>
  </si>
  <si>
    <t>麥片飯</t>
    <phoneticPr fontId="3" type="noConversion"/>
  </si>
  <si>
    <t>結頭菜湯</t>
    <phoneticPr fontId="3" type="noConversion"/>
  </si>
  <si>
    <t>紫米飯</t>
    <phoneticPr fontId="3" type="noConversion"/>
  </si>
  <si>
    <t>有機青菜</t>
    <phoneticPr fontId="3" type="noConversion"/>
  </si>
  <si>
    <t>海苔小米飯</t>
    <phoneticPr fontId="3" type="noConversion"/>
  </si>
  <si>
    <t>日式壽喜燒肉片</t>
    <phoneticPr fontId="3" type="noConversion"/>
  </si>
  <si>
    <t>京都風關東煮</t>
    <phoneticPr fontId="3" type="noConversion"/>
  </si>
  <si>
    <t>＊紫菜蛋花湯</t>
    <phoneticPr fontId="3" type="noConversion"/>
  </si>
  <si>
    <t>味噌豆腐湯</t>
    <phoneticPr fontId="3" type="noConversion"/>
  </si>
  <si>
    <t>炸醬小炒豆干</t>
    <phoneticPr fontId="3" type="noConversion"/>
  </si>
  <si>
    <t>地瓜簽飯</t>
    <phoneticPr fontId="3" type="noConversion"/>
  </si>
  <si>
    <t>夜市滷味</t>
    <phoneticPr fontId="3" type="noConversion"/>
  </si>
  <si>
    <t>醋溜鍋爆肉</t>
    <phoneticPr fontId="3" type="noConversion"/>
  </si>
  <si>
    <t>南瓜子飯</t>
    <phoneticPr fontId="3" type="noConversion"/>
  </si>
  <si>
    <t>針菇豆腐湯</t>
    <phoneticPr fontId="3" type="noConversion"/>
  </si>
  <si>
    <t>胚芽米飯</t>
    <phoneticPr fontId="3" type="noConversion"/>
  </si>
  <si>
    <t>咖哩肉片</t>
    <phoneticPr fontId="3" type="noConversion"/>
  </si>
  <si>
    <t>螞蟻上樹</t>
    <phoneticPr fontId="3" type="noConversion"/>
  </si>
  <si>
    <t>薑絲胡瓜湯</t>
    <phoneticPr fontId="3" type="noConversion"/>
  </si>
  <si>
    <t>大麥仁飯</t>
    <phoneticPr fontId="3" type="noConversion"/>
  </si>
  <si>
    <t>麻油菇菇雞</t>
    <phoneticPr fontId="3" type="noConversion"/>
  </si>
  <si>
    <t>肉骨茶湯</t>
    <phoneticPr fontId="3" type="noConversion"/>
  </si>
  <si>
    <t>芹香海帶干絲</t>
    <phoneticPr fontId="3" type="noConversion"/>
  </si>
  <si>
    <t>黑芝麻飯</t>
    <phoneticPr fontId="3" type="noConversion"/>
  </si>
  <si>
    <t>肉絲燴冬瓜</t>
    <phoneticPr fontId="3" type="noConversion"/>
  </si>
  <si>
    <t>(熱)銀耳桂圓甜湯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</si>
  <si>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(熱)綠豆牛奶西米露</t>
    </r>
    <phoneticPr fontId="3" type="noConversion"/>
  </si>
  <si>
    <t>＊蛋酥花椰菜</t>
    <phoneticPr fontId="3" type="noConversion"/>
  </si>
  <si>
    <t>＊古早味米粉湯</t>
    <phoneticPr fontId="3" type="noConversion"/>
  </si>
  <si>
    <t>香鬆黃豆飯</t>
    <phoneticPr fontId="3" type="noConversion"/>
  </si>
  <si>
    <t>番茄豆腐湯</t>
    <phoneticPr fontId="3" type="noConversion"/>
  </si>
  <si>
    <t>☆每週一.二.四各供應補助有機青菜一次</t>
    <phoneticPr fontId="3" type="noConversion"/>
  </si>
  <si>
    <t>☆本月保久乳供應日:３／０３(四)、３/１１(五)、３／０８(五)、３／２２(二)、３/２８(一) 各供應保久乳一瓶</t>
    <phoneticPr fontId="3" type="noConversion"/>
  </si>
  <si>
    <t>香酥魚丁</t>
    <phoneticPr fontId="3" type="noConversion"/>
  </si>
  <si>
    <t>＊韓式泡菜起司拉麵</t>
    <phoneticPr fontId="3" type="noConversion"/>
  </si>
  <si>
    <t>海芽洋蔥大醬湯</t>
    <phoneticPr fontId="3" type="noConversion"/>
  </si>
  <si>
    <t>＊奶油雞肉絲通心麵</t>
    <phoneticPr fontId="3" type="noConversion"/>
  </si>
  <si>
    <t>蘿勒燉肉丁</t>
    <phoneticPr fontId="3" type="noConversion"/>
  </si>
  <si>
    <t>(日本)</t>
    <phoneticPr fontId="3" type="noConversion"/>
  </si>
  <si>
    <t>(客家)</t>
    <phoneticPr fontId="3" type="noConversion"/>
  </si>
  <si>
    <t>(西班牙)</t>
    <phoneticPr fontId="3" type="noConversion"/>
  </si>
  <si>
    <t>(韓國)</t>
    <phoneticPr fontId="3" type="noConversion"/>
  </si>
  <si>
    <t>(臺灣)</t>
    <phoneticPr fontId="3" type="noConversion"/>
  </si>
  <si>
    <t>有機白米80g</t>
    <phoneticPr fontId="3" type="noConversion"/>
  </si>
  <si>
    <t>冷凍豬絞肉65g+洋蔥小丁18g+豆薯小丁8g+乾香菇絲0.2g</t>
    <phoneticPr fontId="3" type="noConversion"/>
  </si>
  <si>
    <t>有機青菜段75g</t>
    <phoneticPr fontId="3" type="noConversion"/>
  </si>
  <si>
    <t>雞丁70g+山藥中丁15g+馬鈴薯中丁15g+去子紅棗2g</t>
    <phoneticPr fontId="3" type="noConversion"/>
  </si>
  <si>
    <t>紅麵線8g+金針菇(切)12g+木耳絲3g+紅蘿蔔絲2g+柴魚片</t>
    <phoneticPr fontId="3" type="noConversion"/>
  </si>
  <si>
    <t>農糧米68g+冷凍毛豆仁10g+紅藜麥2g</t>
    <phoneticPr fontId="3" type="noConversion"/>
  </si>
  <si>
    <t>醬油冬瓜燒雞</t>
    <phoneticPr fontId="3" type="noConversion"/>
  </si>
  <si>
    <t>冷凍水鯊魚丁95g+地瓜大丁30g</t>
    <phoneticPr fontId="3" type="noConversion"/>
  </si>
  <si>
    <t>冷凍豬肉片68g+大白菜角16g+洋蔥角8g+黑珍珠菇(切)4g+紅蘿蔔片3g+味霖</t>
    <phoneticPr fontId="3" type="noConversion"/>
  </si>
  <si>
    <t>白蘿蔔中丁45g+紅蘿蔔中丁20g+冷凍甜不辣條(切)18g(約2條/人)+日式醬油+柴魚片</t>
    <phoneticPr fontId="3" type="noConversion"/>
  </si>
  <si>
    <t>非基改板豆腐小丁35g+非基改味噌+蔥花0.5g</t>
    <phoneticPr fontId="3" type="noConversion"/>
  </si>
  <si>
    <t>農糧米80g+黑芝麻粒+薑黃粉+安佳無鹽奶油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</si>
  <si>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薑黃芝麻飯</t>
    </r>
    <phoneticPr fontId="3" type="noConversion"/>
  </si>
  <si>
    <t>南瓜蘑菇濃湯</t>
    <phoneticPr fontId="3" type="noConversion"/>
  </si>
  <si>
    <t>南瓜小丁25g+蘑菇(切)5g+洋蔥小丁5g+南瓜濃湯粉+中筋麵粉</t>
    <phoneticPr fontId="3" type="noConversion"/>
  </si>
  <si>
    <t>洋蔥粗絲25g+乾海帶芽0.6g+韓式大醬(紅味噌)</t>
    <phoneticPr fontId="3" type="noConversion"/>
  </si>
  <si>
    <t>農糧米65g+地瓜絲15g</t>
    <phoneticPr fontId="3" type="noConversion"/>
  </si>
  <si>
    <t>冷凍生鮮帶骨大排約75g/片+麻油+九層塔+蒜仁+老薑片</t>
    <phoneticPr fontId="3" type="noConversion"/>
  </si>
  <si>
    <t>冷凍豬肉角68g+紅蘿蔔中丁30g+蘿勒粉</t>
    <phoneticPr fontId="3" type="noConversion"/>
  </si>
  <si>
    <t>馬鈴薯小丁48g+冷藏殺菌全液蛋30g+紅蘿蔔末2g+巴西里粉</t>
    <phoneticPr fontId="3" type="noConversion"/>
  </si>
  <si>
    <t>乾通心麵40g+冷凍三色豆12g+洋蔥小丁8g+清雞肉絲8g+黑珍珠菇(切)3g+oak全脂奶粉+安佳無鹽奶油</t>
    <phoneticPr fontId="3" type="noConversion"/>
  </si>
  <si>
    <t>馬鈴薯小丁16g+洋蔥小丁8g+番茄小丁8g+木耳小丁3g+月桂葉</t>
    <phoneticPr fontId="3" type="noConversion"/>
  </si>
  <si>
    <t>番茄羅宋湯</t>
    <phoneticPr fontId="3" type="noConversion"/>
  </si>
  <si>
    <t>紅蘿蔔絲40g+冷藏殺菌全液蛋30g洋蔥絲12g</t>
    <phoneticPr fontId="3" type="noConversion"/>
  </si>
  <si>
    <t>農糧米78g+去殼南瓜子2g</t>
    <phoneticPr fontId="3" type="noConversion"/>
  </si>
  <si>
    <t>冷凍水鯊魚丁95g+洋蔥角12g+紅蘿蔔中丁8g+生鮮鳳梨4g+番茄醬(糊)</t>
    <phoneticPr fontId="3" type="noConversion"/>
  </si>
  <si>
    <t>＊鮮蔬麵片</t>
    <phoneticPr fontId="3" type="noConversion"/>
  </si>
  <si>
    <t>非基改板豆腐小丁28g+金針菇(切)6g+木耳絲2g</t>
    <phoneticPr fontId="3" type="noConversion"/>
  </si>
  <si>
    <t>冷凍豬肉片68g+馬鈴薯片25g+洋蔥角8g+紅蘿蔔片5g+咖哩粉</t>
    <phoneticPr fontId="3" type="noConversion"/>
  </si>
  <si>
    <t>麵疙瘩(薄)28g+大白菜角35g+紅蘿蔔片5g+蝦米1g</t>
    <phoneticPr fontId="3" type="noConversion"/>
  </si>
  <si>
    <t>農糧米65g+洋薏仁15g</t>
    <phoneticPr fontId="3" type="noConversion"/>
  </si>
  <si>
    <t>雞丁70g+杏鮑菇(切)30g+紅蘿蔔中丁8g+麻油+老薑片</t>
    <phoneticPr fontId="3" type="noConversion"/>
  </si>
  <si>
    <t>芹菜段40g+海帶絲(切)25g+非基改粗干絲12</t>
    <phoneticPr fontId="3" type="noConversion"/>
  </si>
  <si>
    <t>農糧米80g+黑芝麻粒</t>
    <phoneticPr fontId="3" type="noConversion"/>
  </si>
  <si>
    <t>冬瓜大丁78g+冷凍豬肉絲8g+紅蘿蔔片3g+黑珍珠菇(切)3g</t>
    <phoneticPr fontId="3" type="noConversion"/>
  </si>
  <si>
    <t>白木耳3g+桂圓肉(切)3g</t>
    <phoneticPr fontId="3" type="noConversion"/>
  </si>
  <si>
    <t>粗米粉8g+綠豆芽12g+芋頭粗絲6g+韭菜段3g+乾香菇絲0.2g+蝦米0.2g</t>
    <phoneticPr fontId="3" type="noConversion"/>
  </si>
  <si>
    <t>冷藏殺菌全液蛋55g+冷凍玉米粒8g</t>
    <phoneticPr fontId="3" type="noConversion"/>
  </si>
  <si>
    <t>冷凍調理麥克雞塊約40~45g/2塊</t>
    <phoneticPr fontId="3" type="noConversion"/>
  </si>
  <si>
    <t>蒸</t>
    <phoneticPr fontId="3" type="noConversion"/>
  </si>
  <si>
    <t>滷煮</t>
    <phoneticPr fontId="3" type="noConversion"/>
  </si>
  <si>
    <t>燙</t>
    <phoneticPr fontId="3" type="noConversion"/>
  </si>
  <si>
    <t>煮</t>
    <phoneticPr fontId="3" type="noConversion"/>
  </si>
  <si>
    <t>燉</t>
    <phoneticPr fontId="3" type="noConversion"/>
  </si>
  <si>
    <t>燒</t>
    <phoneticPr fontId="3" type="noConversion"/>
  </si>
  <si>
    <t>炒</t>
    <phoneticPr fontId="3" type="noConversion"/>
  </si>
  <si>
    <t>拌炒</t>
    <phoneticPr fontId="3" type="noConversion"/>
  </si>
  <si>
    <t>燴</t>
    <phoneticPr fontId="3" type="noConversion"/>
  </si>
  <si>
    <t>炸</t>
    <phoneticPr fontId="3" type="noConversion"/>
  </si>
  <si>
    <t>滷</t>
    <phoneticPr fontId="3" type="noConversion"/>
  </si>
  <si>
    <t>燴煮</t>
    <phoneticPr fontId="3" type="noConversion"/>
  </si>
  <si>
    <t>兒童節票選特餐</t>
    <phoneticPr fontId="3" type="noConversion"/>
  </si>
  <si>
    <t>蒜香小白菜</t>
    <phoneticPr fontId="3" type="noConversion"/>
  </si>
  <si>
    <t>針菇芥蘭菜</t>
    <phoneticPr fontId="3" type="noConversion"/>
  </si>
  <si>
    <t>海帶絲大白菜</t>
    <phoneticPr fontId="3" type="noConversion"/>
  </si>
  <si>
    <t>白芝麻青江菜</t>
    <phoneticPr fontId="3" type="noConversion"/>
  </si>
  <si>
    <t>小白菜段75g</t>
    <phoneticPr fontId="3" type="noConversion"/>
  </si>
  <si>
    <t>冷凍青花菜95g+紅蘿蔔絲3g</t>
    <phoneticPr fontId="3" type="noConversion"/>
  </si>
  <si>
    <t>紅絲青花菜</t>
    <phoneticPr fontId="3" type="noConversion"/>
  </si>
  <si>
    <t>☆本月有機青菜種類：青松菜、菠菜、蚵白菜、山茼萵、山東大白菜、蘿蔓萵苣、包心白菜、廣東菜、小白菜、小松菜、高麗菜、A菜</t>
    <phoneticPr fontId="3" type="noConversion"/>
  </si>
  <si>
    <t>＊紅蘿蔔炒蛋</t>
    <phoneticPr fontId="3" type="noConversion"/>
  </si>
  <si>
    <t>芹香豆薯肉絲</t>
    <phoneticPr fontId="3" type="noConversion"/>
  </si>
  <si>
    <t>☆本月蔬菜種類:油菜.蚵白菜.青江菜,小白菜.菠菜.花椰菜.大白菜.高麗菜…等當季蔬菜</t>
    <phoneticPr fontId="3" type="noConversion"/>
  </si>
  <si>
    <t>☆本月水果種類:木瓜.葡萄.小番茄.柑橘.柳丁.棗子…等當令水果</t>
    <phoneticPr fontId="3" type="noConversion"/>
  </si>
  <si>
    <t>☆菜單中「      」記號為特餐，「      」記號為有機日，「  *  」記號為易過敏原食材</t>
    <phoneticPr fontId="3" type="noConversion"/>
  </si>
  <si>
    <t>香菇豆干肉燥</t>
    <phoneticPr fontId="3" type="noConversion"/>
  </si>
  <si>
    <t>玉米洋芋湯</t>
    <phoneticPr fontId="3" type="noConversion"/>
  </si>
  <si>
    <t>紅棗燉山藥</t>
    <phoneticPr fontId="3" type="noConversion"/>
  </si>
  <si>
    <t>薑香小白菜</t>
    <phoneticPr fontId="3" type="noConversion"/>
  </si>
  <si>
    <t>菇香紅麵線湯</t>
    <phoneticPr fontId="3" type="noConversion"/>
  </si>
  <si>
    <r>
      <t>雙醬素食拌麵+筍燒烤麩＋有機青菜＋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奶香洋芋濃湯</t>
    </r>
    <phoneticPr fontId="3" type="noConversion"/>
  </si>
  <si>
    <t>蘿蔔筑前煮</t>
    <phoneticPr fontId="3" type="noConversion"/>
  </si>
  <si>
    <t>芹香豆薯干絲</t>
  </si>
  <si>
    <t>醬燒冬瓜</t>
    <phoneticPr fontId="3" type="noConversion"/>
  </si>
  <si>
    <t>玉米炒干丁</t>
    <phoneticPr fontId="3" type="noConversion"/>
  </si>
  <si>
    <t>醋溜杏鮑菇</t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</si>
  <si>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義式乾酪什蔬燉飯</t>
    </r>
    <r>
      <rPr>
        <sz val="16"/>
        <rFont val="王漢宗中明體注音"/>
        <family val="5"/>
        <charset val="136"/>
      </rPr>
      <t>＋香酥豆腐＋補助有機青菜＋什菇湯</t>
    </r>
    <phoneticPr fontId="3" type="noConversion"/>
  </si>
  <si>
    <t>蒲燒百頁</t>
    <phoneticPr fontId="3" type="noConversion"/>
  </si>
  <si>
    <t>紫菜豆皮絲湯</t>
    <phoneticPr fontId="3" type="noConversion"/>
  </si>
  <si>
    <t>燒豆包</t>
    <phoneticPr fontId="3" type="noConversion"/>
  </si>
  <si>
    <t>客家干片小炒炒飯+桔醬燴麵腸+補助有機青菜+＊客家鹹湯圓</t>
    <phoneticPr fontId="3" type="noConversion"/>
  </si>
  <si>
    <t>＊花生醬素雞片</t>
    <phoneticPr fontId="3" type="noConversion"/>
  </si>
  <si>
    <t>焗烤馬鈴薯</t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</si>
  <si>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韓式泡菜起司拉麵</t>
    </r>
    <r>
      <rPr>
        <sz val="16"/>
        <rFont val="王漢宗中明體注音"/>
        <family val="5"/>
        <charset val="136"/>
      </rPr>
      <t>＋甜酸醬豆腸＋補助有機青菜＋海芽大醬湯</t>
    </r>
    <phoneticPr fontId="3" type="noConversion"/>
  </si>
  <si>
    <t>香菇素肉羹湯</t>
    <phoneticPr fontId="3" type="noConversion"/>
  </si>
  <si>
    <t>香滷蘭花干</t>
    <phoneticPr fontId="3" type="noConversion"/>
  </si>
  <si>
    <t>芹香紅蘿蔔</t>
    <phoneticPr fontId="3" type="noConversion"/>
  </si>
  <si>
    <t>鮮蔬麵片</t>
    <phoneticPr fontId="3" type="noConversion"/>
  </si>
  <si>
    <t>塔香三杯麵輪</t>
    <phoneticPr fontId="3" type="noConversion"/>
  </si>
  <si>
    <t>菠蘿糖醋豆包絲</t>
    <phoneticPr fontId="3" type="noConversion"/>
  </si>
  <si>
    <t>咖哩燴豆腐</t>
    <phoneticPr fontId="3" type="noConversion"/>
  </si>
  <si>
    <t>麻油菇菇</t>
    <phoneticPr fontId="3" type="noConversion"/>
  </si>
  <si>
    <t>素肉絲燴冬瓜</t>
    <phoneticPr fontId="3" type="noConversion"/>
  </si>
  <si>
    <t>蜜汁大溪黃豆干</t>
    <phoneticPr fontId="3" type="noConversion"/>
  </si>
  <si>
    <t>花瓜烤麩</t>
    <phoneticPr fontId="3" type="noConversion"/>
  </si>
  <si>
    <t>古早味米粉湯</t>
    <phoneticPr fontId="3" type="noConversion"/>
  </si>
  <si>
    <t>田園花椰菜</t>
    <phoneticPr fontId="3" type="noConversion"/>
  </si>
  <si>
    <t>素麥克雞塊X2</t>
    <phoneticPr fontId="3" type="noConversion"/>
  </si>
  <si>
    <t>麻婆四季豆百頁</t>
    <phoneticPr fontId="3" type="noConversion"/>
  </si>
  <si>
    <t>炸茄子</t>
    <phoneticPr fontId="3" type="noConversion"/>
  </si>
  <si>
    <t>清蒸高麗菜捲X1</t>
    <phoneticPr fontId="3" type="noConversion"/>
  </si>
  <si>
    <t>鮮菇炒豆皮結</t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</si>
  <si>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奶油鴻喜菇通心麵</t>
    </r>
    <r>
      <rPr>
        <sz val="16"/>
        <rFont val="王漢宗中明體注音"/>
        <family val="5"/>
        <charset val="136"/>
      </rPr>
      <t>＋蘿勒燉黑豆干＋補助有機青菜＋番茄羅宋湯</t>
    </r>
    <phoneticPr fontId="3" type="noConversion"/>
  </si>
  <si>
    <t>麥片飯</t>
  </si>
  <si>
    <t>紅麵線湯</t>
    <phoneticPr fontId="3" type="noConversion"/>
  </si>
  <si>
    <t>鍋燒豆腐</t>
    <phoneticPr fontId="3" type="noConversion"/>
  </si>
  <si>
    <t>BBQ醬燴炸魚片X1</t>
    <phoneticPr fontId="3" type="noConversion"/>
  </si>
  <si>
    <t>北農有機青菜</t>
  </si>
  <si>
    <t>☆每週二供應北農有機白米一次</t>
  </si>
  <si>
    <t>☆每週一.二.四各供應北農有機青菜一次</t>
  </si>
  <si>
    <r>
      <t>古早味炸醬肉燥拌麵+燜筍燒肉＋紅絲高麗菜＋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洋芋洋蔥濃湯</t>
    </r>
    <phoneticPr fontId="3" type="noConversion"/>
  </si>
  <si>
    <t>蒜酥菠菜</t>
    <phoneticPr fontId="3" type="noConversion"/>
  </si>
  <si>
    <r>
      <t>＊</t>
    </r>
    <r>
      <rPr>
        <b/>
        <u/>
        <sz val="16"/>
        <rFont val="王漢宗中明體注音"/>
        <family val="1"/>
        <charset val="136"/>
      </rPr>
      <t>奶油菇菇</t>
    </r>
    <r>
      <rPr>
        <b/>
        <u/>
        <sz val="16"/>
        <rFont val="王漢宗中明體注音"/>
        <family val="5"/>
        <charset val="136"/>
      </rPr>
      <t>炒蛋</t>
    </r>
    <phoneticPr fontId="3" type="noConversion"/>
  </si>
  <si>
    <r>
      <rPr>
        <b/>
        <sz val="16"/>
        <rFont val="王漢宗中明體注音"/>
        <family val="1"/>
        <charset val="136"/>
      </rPr>
      <t>＊</t>
    </r>
    <r>
      <rPr>
        <b/>
        <u/>
        <sz val="16"/>
        <rFont val="王漢宗中明體注音"/>
        <family val="1"/>
        <charset val="136"/>
      </rPr>
      <t>韓式起司部隊麵鍋</t>
    </r>
    <r>
      <rPr>
        <sz val="16"/>
        <rFont val="王漢宗中明體注音"/>
        <family val="5"/>
        <charset val="136"/>
      </rPr>
      <t>＋安東燉雞＋北農有機青菜＋海芽洋蔥大醬湯</t>
    </r>
    <phoneticPr fontId="3" type="noConversion"/>
  </si>
  <si>
    <t>沙茶燴三鮮</t>
    <phoneticPr fontId="3" type="noConversion"/>
  </si>
  <si>
    <t>鮮菇肉羹湯</t>
    <phoneticPr fontId="3" type="noConversion"/>
  </si>
  <si>
    <t>大白菜滷</t>
    <phoneticPr fontId="3" type="noConversion"/>
  </si>
  <si>
    <t>香酥麥克雞塊X2</t>
    <phoneticPr fontId="3" type="noConversion"/>
  </si>
  <si>
    <t>木耳大白菜</t>
    <phoneticPr fontId="3" type="noConversion"/>
  </si>
  <si>
    <t>＊鴻喜菇蒸蛋</t>
    <phoneticPr fontId="3" type="noConversion"/>
  </si>
  <si>
    <t>滷大排X1</t>
    <phoneticPr fontId="3" type="noConversion"/>
  </si>
  <si>
    <t>香鬆黃豆飯</t>
    <phoneticPr fontId="3" type="noConversion"/>
  </si>
  <si>
    <t>＊奶油雞肉絲義大利麵＋蘿勒燉肉丁＋北農有機青菜＋番茄羅宋湯</t>
    <phoneticPr fontId="3" type="noConversion"/>
  </si>
  <si>
    <t>油蔥青江菜</t>
    <phoneticPr fontId="3" type="noConversion"/>
  </si>
  <si>
    <t>胚芽有機米飯</t>
    <phoneticPr fontId="3" type="noConversion"/>
  </si>
  <si>
    <t>海苔有機米飯</t>
    <phoneticPr fontId="3" type="noConversion"/>
  </si>
  <si>
    <t>＊馬鈴薯炒蛋</t>
    <phoneticPr fontId="3" type="noConversion"/>
  </si>
  <si>
    <t>西班牙番茄燉肉</t>
    <phoneticPr fontId="3" type="noConversion"/>
  </si>
  <si>
    <t>雪菜肉末干丁</t>
    <phoneticPr fontId="3" type="noConversion"/>
  </si>
  <si>
    <t>鳳梨糖醋魚丁</t>
    <phoneticPr fontId="3" type="noConversion"/>
  </si>
  <si>
    <t>＊針菇蛋花湯</t>
    <phoneticPr fontId="3" type="noConversion"/>
  </si>
  <si>
    <t>花瓜雞丁</t>
    <phoneticPr fontId="3" type="noConversion"/>
  </si>
  <si>
    <t>蒜香四季豆</t>
    <phoneticPr fontId="3" type="noConversion"/>
  </si>
  <si>
    <t>薑絲菠菜</t>
    <phoneticPr fontId="3" type="noConversion"/>
  </si>
  <si>
    <t>小米有機米飯</t>
    <phoneticPr fontId="3" type="noConversion"/>
  </si>
  <si>
    <r>
      <rPr>
        <b/>
        <sz val="16"/>
        <rFont val="王漢宗中明體注音"/>
        <family val="1"/>
        <charset val="136"/>
      </rPr>
      <t>＊</t>
    </r>
    <r>
      <rPr>
        <b/>
        <u/>
        <sz val="16"/>
        <rFont val="王漢宗中明體注音"/>
        <family val="1"/>
        <charset val="136"/>
      </rPr>
      <t>番茄乾酪什蔬燉飯</t>
    </r>
    <r>
      <rPr>
        <sz val="16"/>
        <rFont val="王漢宗中明體注音"/>
        <family val="5"/>
        <charset val="136"/>
      </rPr>
      <t>＋香酥地瓜魚丁＋北農有機青菜＋薑絲冬瓜湯</t>
    </r>
    <phoneticPr fontId="3" type="noConversion"/>
  </si>
  <si>
    <t>二</t>
    <phoneticPr fontId="3" type="noConversion"/>
  </si>
  <si>
    <t>客家米苔目鹹湯</t>
    <phoneticPr fontId="3" type="noConversion"/>
  </si>
  <si>
    <t>北農有機青菜</t>
    <phoneticPr fontId="3" type="noConversion"/>
  </si>
  <si>
    <t>桔醬炸雞丁</t>
    <phoneticPr fontId="3" type="noConversion"/>
  </si>
  <si>
    <t>客家豆豉炒菜豆</t>
    <phoneticPr fontId="3" type="noConversion"/>
  </si>
  <si>
    <t>☆本月保久乳供應日:３/１０(五)、３／１６(四)、３／２１(二)、３/２７(一) 各供應保久乳一瓶</t>
    <phoneticPr fontId="3" type="noConversion"/>
  </si>
  <si>
    <t>☆本月三章屐歷豆奶供應日為３/３０(四)</t>
    <phoneticPr fontId="3" type="noConversion"/>
  </si>
  <si>
    <t>本月蔬食餐供應日：3/06(一)、3/30(四)</t>
    <phoneticPr fontId="3" type="noConversion"/>
  </si>
  <si>
    <t>☆本月魚肉種類:水鯊魚(3/02、3/09、3/17、3/22、3/27)</t>
    <phoneticPr fontId="3" type="noConversion"/>
  </si>
  <si>
    <t>☆本月有機青菜種類：黑葉白菜、廣島菜、蘿蔓萵苣、小白菜、青江菜、小松菜、味美菜、山茼蒿、福山萵苣、油江菜</t>
    <phoneticPr fontId="3" type="noConversion"/>
  </si>
  <si>
    <t>☆本月水果種類:木瓜.小番茄.柑橘.柳丁.棗子…等當令水果</t>
    <phoneticPr fontId="3" type="noConversion"/>
  </si>
  <si>
    <t>１１２年０３月食材明細表</t>
    <phoneticPr fontId="3" type="noConversion"/>
  </si>
  <si>
    <t>蔥燒雞腿排X1</t>
    <phoneticPr fontId="3" type="noConversion"/>
  </si>
  <si>
    <t>香滷翅腿X2</t>
    <phoneticPr fontId="3" type="noConversion"/>
  </si>
  <si>
    <t>(熱)地瓜芋頭甜湯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</si>
  <si>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(熱)地瓜牛奶西米露</t>
    </r>
    <phoneticPr fontId="3" type="noConversion"/>
  </si>
  <si>
    <t>蜜汁醬燒魚</t>
    <phoneticPr fontId="3" type="noConversion"/>
  </si>
  <si>
    <t>海芽豆腐湯</t>
    <phoneticPr fontId="3" type="noConversion"/>
  </si>
  <si>
    <t>六</t>
    <phoneticPr fontId="3" type="noConversion"/>
  </si>
  <si>
    <t>糙米飯</t>
  </si>
  <si>
    <t>北農有機青菜</t>
    <phoneticPr fontId="3" type="noConversion"/>
  </si>
  <si>
    <t>豆皮燴扁蒲</t>
    <phoneticPr fontId="3" type="noConversion"/>
  </si>
  <si>
    <t>椒鹽炸豬柳</t>
    <phoneticPr fontId="3" type="noConversion"/>
  </si>
  <si>
    <t>菜頭黑輪湯</t>
    <phoneticPr fontId="3" type="noConversion"/>
  </si>
  <si>
    <t>農糧米62g+糙米18g</t>
    <phoneticPr fontId="3" type="noConversion"/>
  </si>
  <si>
    <t>非基改板豆腐中丁65g+洋蔥角12g+豬絞肉8g-紅蘿蔔末2g</t>
    <phoneticPr fontId="3" type="noConversion"/>
  </si>
  <si>
    <t>水鯊魚片約100g/片+紅蘿蔔絲2g+白芝麻粒0.2g+烤肉醬</t>
    <phoneticPr fontId="3" type="noConversion"/>
  </si>
  <si>
    <t>炸+燴汁</t>
    <phoneticPr fontId="3" type="noConversion"/>
  </si>
  <si>
    <t>洋蔥粗絲55g+冷藏殺菌全液蛋25g</t>
    <phoneticPr fontId="3" type="noConversion"/>
  </si>
  <si>
    <t>地瓜小丁25g+芋頭小丁8g</t>
    <phoneticPr fontId="3" type="noConversion"/>
  </si>
  <si>
    <t>燒煮</t>
    <phoneticPr fontId="3" type="noConversion"/>
  </si>
  <si>
    <t>燉煮</t>
    <phoneticPr fontId="3" type="noConversion"/>
  </si>
  <si>
    <t>古早味炸醬肉燥拌麵</t>
    <phoneticPr fontId="3" type="noConversion"/>
  </si>
  <si>
    <t>黃油麵120g+綠豆芽18g+小黃瓜粗絲5g+紅蘿蔔絲3g+冷凍豬絞肉5g+非基改甜麵醬+非基改黑豆瓣醬</t>
    <phoneticPr fontId="3" type="noConversion"/>
  </si>
  <si>
    <t>冷凍豬肉角68g+筍中丁28g+紅蘿蔔中丁5g</t>
    <phoneticPr fontId="3" type="noConversion"/>
  </si>
  <si>
    <t>紅絲高麗菜</t>
    <phoneticPr fontId="3" type="noConversion"/>
  </si>
  <si>
    <t>爛筍燒肉</t>
    <phoneticPr fontId="3" type="noConversion"/>
  </si>
  <si>
    <t>高麗菜角68g+紅蘿蔔絲4g</t>
    <phoneticPr fontId="3" type="noConversion"/>
  </si>
  <si>
    <t>＊洋芋洋蔥濃湯</t>
    <phoneticPr fontId="3" type="noConversion"/>
  </si>
  <si>
    <t>馬鈴薯小丁28g+洋蔥小丁8g+安佳無鹽奶油+oak全脂奶粉+中筋麵粉+玉米濃湯粉</t>
    <phoneticPr fontId="3" type="noConversion"/>
  </si>
  <si>
    <t>冷藏殺菌全液蛋55g+黑珍珠菇8g+洋蔥小丁18g+安佳無鹽奶油塊</t>
    <phoneticPr fontId="3" type="noConversion"/>
  </si>
  <si>
    <t>冷凍黑輪條(切)40g+白蘿蔔中丁25g+紅蘿蔔中丁18g</t>
    <phoneticPr fontId="3" type="noConversion"/>
  </si>
  <si>
    <t>非基改板豆腐小丁30g+小魚干2g</t>
    <phoneticPr fontId="3" type="noConversion"/>
  </si>
  <si>
    <t>雞丁70g+冬瓜大丁35g+紅蘿蔔末2g+蔥花0.5g</t>
    <phoneticPr fontId="3" type="noConversion"/>
  </si>
  <si>
    <t>豆薯粗絲55g+芹菜段12g+冷凍豬肉絲12g</t>
    <phoneticPr fontId="3" type="noConversion"/>
  </si>
  <si>
    <t>馬鈴薯小丁20g+山藥小丁8g+洋薏仁3g+大薏仁2g+冷凍龍骨丁1.5g</t>
    <phoneticPr fontId="3" type="noConversion"/>
  </si>
  <si>
    <t>農糧米62g+麥片18g</t>
    <phoneticPr fontId="3" type="noConversion"/>
  </si>
  <si>
    <t>自製雪裡紅：油菜原料85g+冷凍豬絞肉12g+非基改豆干小丁8g+紅蘿蔔末2g</t>
    <phoneticPr fontId="3" type="noConversion"/>
  </si>
  <si>
    <t>冷凍豬肉片68g+洋蔥角22g+小黃瓜片8g+彩椒角3g+白醋+番茄醬(糊)</t>
    <phoneticPr fontId="3" type="noConversion"/>
  </si>
  <si>
    <t>芥蘭菜(段)75g+金針菇(切)3g</t>
    <phoneticPr fontId="3" type="noConversion"/>
  </si>
  <si>
    <t>結頭菜中丁32g+冷凍龍骨丁1.5g</t>
    <phoneticPr fontId="3" type="noConversion"/>
  </si>
  <si>
    <t>＊番茄乾酪什蔬燉飯</t>
    <phoneticPr fontId="3" type="noConversion"/>
  </si>
  <si>
    <t>農糧米80g+紅藜麥2g+高麗菜小丁12g+洋蔥小丁8g+番茄小丁8g+冷凍毛豆仁2g+安佳無鹽奶油+起士絲</t>
    <phoneticPr fontId="3" type="noConversion"/>
  </si>
  <si>
    <t>薑絲冬瓜湯</t>
    <phoneticPr fontId="3" type="noConversion"/>
  </si>
  <si>
    <t>冬瓜中丁32g+龍骨丁1.5g+薑絲</t>
    <phoneticPr fontId="3" type="noConversion"/>
  </si>
  <si>
    <t>雞腿排約145g/塊+青蔥1.5g</t>
    <phoneticPr fontId="3" type="noConversion"/>
  </si>
  <si>
    <t>菠菜段78g</t>
    <phoneticPr fontId="3" type="noConversion"/>
  </si>
  <si>
    <t>洗選蛋12g+乾紫菜0.2g+冷凍龍骨丁1.5g</t>
    <phoneticPr fontId="3" type="noConversion"/>
  </si>
  <si>
    <t>有機白米62g+小米18g</t>
    <phoneticPr fontId="3" type="noConversion"/>
  </si>
  <si>
    <t>非基改中豆干片55g+紅蘿蔔絲18g+芹菜段5g+蔥段1g+冷凍豬肉5g+非基改黑豆瓣醬</t>
    <phoneticPr fontId="3" type="noConversion"/>
  </si>
  <si>
    <t>有機白米80g+海苔粉</t>
    <phoneticPr fontId="3" type="noConversion"/>
  </si>
  <si>
    <t>雞丁75g+地瓜大丁30g+客家桔醬</t>
    <phoneticPr fontId="3" type="noConversion"/>
  </si>
  <si>
    <t>鹹米苔目18g+小白菜8g+韭菜段4g+紅蘿蔔絲2g+乾香菇絲0.2g+蝦米0.2g+冷凍龍骨丁1.5g</t>
    <phoneticPr fontId="3" type="noConversion"/>
  </si>
  <si>
    <t>安東燉雞</t>
    <phoneticPr fontId="3" type="noConversion"/>
  </si>
  <si>
    <t>雞丁75g+馬鈴薯中丁22g+洋蔥角8g+紅蘿蔔中丁8g+青椒角3g+青蔥1g+韓式胡麻油+紅椒粉</t>
    <phoneticPr fontId="3" type="noConversion"/>
  </si>
  <si>
    <t>豬肉角70g+洋蔥角20g+番茄角8g+黑橄欖片+番茄醬(糊)+花生醬</t>
    <phoneticPr fontId="3" type="noConversion"/>
  </si>
  <si>
    <t>炒</t>
    <phoneticPr fontId="3" type="noConversion"/>
  </si>
  <si>
    <t>熟拉麵120g+大白菜角8g+冷凍豬肉絲12g+起士絲+自製不辣泡菜：大白菜25g+紅蘿蔔絲5g+韭菜段2+魚露+蒜末+薑末</t>
    <phoneticPr fontId="3" type="noConversion"/>
  </si>
  <si>
    <t>杏鮑菇(切)40g+冷凍非基改四分豆干25g+海帶結18g+酸菜絲</t>
    <phoneticPr fontId="3" type="noConversion"/>
  </si>
  <si>
    <t>大白菜角78g+紅蘿蔔絲2g+木耳絲2g+cas洗選蛋2g+非基改小麥豆皮捲0.2g+沙茶醬</t>
    <phoneticPr fontId="3" type="noConversion"/>
  </si>
  <si>
    <t>冷凍四季豆段70g+豬肉絲5g+黑珍珠菇(切)3g+客家豆豉</t>
    <phoneticPr fontId="3" type="noConversion"/>
  </si>
  <si>
    <t>冷凍肉羹(切)16g+金針菇(切)12g+乾香菇絲0.2g+紅蘿蔔絲2g+香菜</t>
    <phoneticPr fontId="3" type="noConversion"/>
  </si>
  <si>
    <t>地瓜小丁28g+西谷米5g+oak全脂奶粉</t>
    <phoneticPr fontId="3" type="noConversion"/>
  </si>
  <si>
    <t>翅小腿(2支)約110~120g</t>
    <phoneticPr fontId="3" type="noConversion"/>
  </si>
  <si>
    <t>青江菜(段)75g</t>
    <phoneticPr fontId="3" type="noConversion"/>
  </si>
  <si>
    <t>有機白米62g+胚芽米18g</t>
    <phoneticPr fontId="3" type="noConversion"/>
  </si>
  <si>
    <t>冬粉18g+高麗菜絲12g+冷凍豬絞肉8g+紅蘿蔔絲3g</t>
    <phoneticPr fontId="3" type="noConversion"/>
  </si>
  <si>
    <t>大黃瓜片32g+冷凍龍骨丁1.5g</t>
    <phoneticPr fontId="3" type="noConversion"/>
  </si>
  <si>
    <t>菠菜段75g</t>
    <phoneticPr fontId="3" type="noConversion"/>
  </si>
  <si>
    <t>豬肉柳</t>
    <phoneticPr fontId="3" type="noConversion"/>
  </si>
  <si>
    <t>扁蒲片78g+紅蘿蔔片8g+木耳絲2g+非基改小麥豆皮捲0.2g</t>
    <phoneticPr fontId="3" type="noConversion"/>
  </si>
  <si>
    <t>白蘿蔔小丁25g+冷凍黑輪(切)6g+芹菜珠</t>
    <phoneticPr fontId="3" type="noConversion"/>
  </si>
  <si>
    <t>豆薯小丁32g+冷凍龍骨丁1.5g+肉骨茶包(臺灣)</t>
    <phoneticPr fontId="3" type="noConversion"/>
  </si>
  <si>
    <t>冷凍水鯊魚丁65g+豬肉片20g+魷魚圈(切)8g+洋蔥角12g+紅蘿蔔片8g+沙茶醬</t>
    <phoneticPr fontId="3" type="noConversion"/>
  </si>
  <si>
    <t>有機白米62g+麥片18g</t>
    <phoneticPr fontId="3" type="noConversion"/>
  </si>
  <si>
    <t>雞丁70g+白蘿蔔中丁22g+紅蘿蔔丁8g+醃漬花瓜6g</t>
    <phoneticPr fontId="3" type="noConversion"/>
  </si>
  <si>
    <t>冷凍青花菜95g+杏鮑菇(切)3g+紅蘿蔔末1g+洗選蛋2g</t>
    <phoneticPr fontId="3" type="noConversion"/>
  </si>
  <si>
    <t>大白菜角78g+紅蘿蔔絲2g+木耳絲2g</t>
    <phoneticPr fontId="3" type="noConversion"/>
  </si>
  <si>
    <t>農糧米75g+非基改黃豆5g+海苔香鬆</t>
    <phoneticPr fontId="3" type="noConversion"/>
  </si>
  <si>
    <t>非基改板豆腐30g+乾海芽0.2g+冷凍龍骨丁1.5g</t>
    <phoneticPr fontId="3" type="noConversion"/>
  </si>
  <si>
    <t>肉燥高麗菜</t>
    <phoneticPr fontId="3" type="noConversion"/>
  </si>
  <si>
    <t>高麗菜角68g+豬絞肉8g+紅蘿蔔末2g+蔥花0.5g</t>
    <phoneticPr fontId="3" type="noConversion"/>
  </si>
  <si>
    <t>冷凍四季豆段70g+豆薯絲3g</t>
    <phoneticPr fontId="3" type="noConversion"/>
  </si>
  <si>
    <t>金針菇(切)25g+cas洗選蛋6g+冷凍龍骨丁1.5g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</si>
</sst>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0_);[Red]\(0\)"/>
    <numFmt numFmtId="178" formatCode="0_ "/>
    <numFmt numFmtId="179" formatCode="m&quot;月&quot;d&quot;日&quot;;@"/>
    <numFmt numFmtId="180" formatCode="[$-404]aaa;@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color indexed="20"/>
      <name val="標楷體"/>
      <family val="4"/>
      <charset val="136"/>
    </font>
    <font>
      <sz val="9"/>
      <name val="新細明體"/>
      <family val="1"/>
      <charset val="136"/>
    </font>
    <font>
      <sz val="18"/>
      <color indexed="20"/>
      <name val="Times New Roman"/>
      <family val="1"/>
    </font>
    <font>
      <sz val="12"/>
      <name val="Times New Roman"/>
      <family val="1"/>
    </font>
    <font>
      <sz val="18"/>
      <color indexed="12"/>
      <name val="Times New Roman"/>
      <family val="1"/>
    </font>
    <font>
      <sz val="10"/>
      <name val="華康圓體注音"/>
      <family val="1"/>
      <charset val="136"/>
    </font>
    <font>
      <sz val="12"/>
      <name val="華康圓體注音"/>
      <family val="1"/>
      <charset val="136"/>
    </font>
    <font>
      <sz val="8"/>
      <name val="標楷體"/>
      <family val="4"/>
      <charset val="136"/>
    </font>
    <font>
      <sz val="8"/>
      <name val="Times New Roman"/>
      <family val="1"/>
    </font>
    <font>
      <sz val="8"/>
      <name val="華康中圓體"/>
      <family val="3"/>
      <charset val="136"/>
    </font>
    <font>
      <sz val="12"/>
      <name val="細明體"/>
      <family val="3"/>
      <charset val="136"/>
    </font>
    <font>
      <sz val="10"/>
      <name val="華康少女文字W5"/>
      <family val="1"/>
      <charset val="136"/>
    </font>
    <font>
      <sz val="8"/>
      <name val="華康少女文字W5"/>
      <family val="1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華康圓體注音"/>
      <family val="1"/>
      <charset val="136"/>
    </font>
    <font>
      <sz val="14"/>
      <name val="華康圓體W3注音"/>
      <family val="1"/>
      <charset val="136"/>
    </font>
    <font>
      <b/>
      <sz val="28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王漢宗中明體注音"/>
      <family val="5"/>
      <charset val="136"/>
    </font>
    <font>
      <b/>
      <sz val="12"/>
      <name val="新細明體"/>
      <family val="1"/>
      <charset val="136"/>
    </font>
    <font>
      <b/>
      <sz val="16"/>
      <name val="王漢宗中明體注音"/>
      <family val="5"/>
      <charset val="136"/>
    </font>
    <font>
      <b/>
      <u/>
      <sz val="16"/>
      <name val="王漢宗中明體注音"/>
      <family val="5"/>
      <charset val="136"/>
    </font>
    <font>
      <b/>
      <u/>
      <sz val="16"/>
      <name val="王漢宗中明體注音"/>
      <family val="1"/>
      <charset val="136"/>
    </font>
    <font>
      <b/>
      <sz val="16"/>
      <name val="王漢宗中明體注音"/>
      <family val="1"/>
      <charset val="136"/>
    </font>
    <font>
      <sz val="16"/>
      <name val="王漢宗中明體注音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9">
    <xf numFmtId="0" fontId="0" fillId="0" borderId="0" xfId="0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25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7" fontId="14" fillId="0" borderId="44" xfId="0" applyNumberFormat="1" applyFont="1" applyBorder="1" applyAlignment="1">
      <alignment horizontal="center" vertical="center"/>
    </xf>
    <xf numFmtId="177" fontId="14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9" fillId="0" borderId="3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shrinkToFit="1"/>
    </xf>
    <xf numFmtId="0" fontId="19" fillId="0" borderId="49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49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15" fillId="0" borderId="0" xfId="0" applyNumberFormat="1" applyFo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179" fontId="22" fillId="0" borderId="22" xfId="0" applyNumberFormat="1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15" fillId="0" borderId="22" xfId="0" applyFont="1" applyBorder="1" applyAlignment="1">
      <alignment vertical="center" shrinkToFit="1"/>
    </xf>
    <xf numFmtId="0" fontId="22" fillId="0" borderId="22" xfId="0" applyFont="1" applyBorder="1" applyAlignment="1">
      <alignment horizontal="center" vertical="center"/>
    </xf>
    <xf numFmtId="180" fontId="22" fillId="0" borderId="8" xfId="0" applyNumberFormat="1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8" xfId="0" applyFont="1" applyBorder="1" applyAlignment="1">
      <alignment horizontal="center" vertical="center"/>
    </xf>
    <xf numFmtId="179" fontId="22" fillId="0" borderId="8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179" fontId="22" fillId="0" borderId="16" xfId="0" applyNumberFormat="1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15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 shrinkToFit="1"/>
    </xf>
    <xf numFmtId="0" fontId="22" fillId="0" borderId="13" xfId="0" applyFont="1" applyBorder="1" applyAlignment="1">
      <alignment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24" xfId="2" applyFont="1" applyBorder="1" applyAlignment="1">
      <alignment horizontal="left"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16" xfId="1" applyFont="1" applyBorder="1" applyAlignment="1">
      <alignment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53" xfId="0" applyFont="1" applyBorder="1" applyAlignment="1">
      <alignment horizontal="left" vertical="center" shrinkToFit="1"/>
    </xf>
    <xf numFmtId="0" fontId="15" fillId="0" borderId="8" xfId="0" applyFont="1" applyBorder="1" applyAlignment="1">
      <alignment shrinkToFit="1"/>
    </xf>
    <xf numFmtId="0" fontId="22" fillId="0" borderId="3" xfId="0" applyFont="1" applyBorder="1" applyAlignment="1">
      <alignment horizontal="center" vertical="center"/>
    </xf>
    <xf numFmtId="0" fontId="15" fillId="0" borderId="8" xfId="2" applyFont="1" applyBorder="1" applyAlignment="1">
      <alignment vertical="center" shrinkToFit="1"/>
    </xf>
    <xf numFmtId="0" fontId="15" fillId="0" borderId="8" xfId="2" applyFont="1" applyBorder="1" applyAlignment="1">
      <alignment horizontal="left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shrinkToFit="1"/>
    </xf>
    <xf numFmtId="0" fontId="5" fillId="0" borderId="0" xfId="0" applyFont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7" fontId="11" fillId="0" borderId="26" xfId="0" applyNumberFormat="1" applyFont="1" applyBorder="1" applyAlignment="1">
      <alignment horizontal="center" vertical="center" shrinkToFit="1"/>
    </xf>
    <xf numFmtId="177" fontId="11" fillId="0" borderId="3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176" fontId="11" fillId="0" borderId="20" xfId="0" applyNumberFormat="1" applyFont="1" applyBorder="1" applyAlignment="1">
      <alignment horizontal="center" vertical="center" shrinkToFit="1"/>
    </xf>
    <xf numFmtId="176" fontId="11" fillId="0" borderId="17" xfId="0" applyNumberFormat="1" applyFont="1" applyBorder="1" applyAlignment="1">
      <alignment horizontal="center" vertical="center" shrinkToFit="1"/>
    </xf>
    <xf numFmtId="176" fontId="11" fillId="0" borderId="18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21" xfId="0" applyNumberFormat="1" applyFont="1" applyBorder="1" applyAlignment="1">
      <alignment horizontal="center" vertical="center" shrinkToFit="1"/>
    </xf>
    <xf numFmtId="177" fontId="11" fillId="0" borderId="23" xfId="0" applyNumberFormat="1" applyFont="1" applyBorder="1" applyAlignment="1">
      <alignment horizontal="center" vertical="center" shrinkToFit="1"/>
    </xf>
    <xf numFmtId="177" fontId="11" fillId="0" borderId="25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6" fontId="11" fillId="0" borderId="34" xfId="0" applyNumberFormat="1" applyFont="1" applyBorder="1" applyAlignment="1">
      <alignment horizontal="center" vertical="center" shrinkToFit="1"/>
    </xf>
    <xf numFmtId="177" fontId="11" fillId="0" borderId="30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7" fontId="11" fillId="0" borderId="32" xfId="0" applyNumberFormat="1" applyFont="1" applyBorder="1" applyAlignment="1">
      <alignment horizontal="center" vertical="center" shrinkToFit="1"/>
    </xf>
    <xf numFmtId="176" fontId="11" fillId="0" borderId="35" xfId="0" applyNumberFormat="1" applyFont="1" applyBorder="1" applyAlignment="1">
      <alignment horizontal="center" vertical="center" shrinkToFit="1"/>
    </xf>
    <xf numFmtId="177" fontId="11" fillId="0" borderId="37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178" fontId="15" fillId="0" borderId="13" xfId="0" applyNumberFormat="1" applyFont="1" applyBorder="1" applyAlignment="1">
      <alignment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7" fontId="11" fillId="0" borderId="27" xfId="0" applyNumberFormat="1" applyFont="1" applyBorder="1" applyAlignment="1">
      <alignment horizontal="center" vertical="center" shrinkToFit="1"/>
    </xf>
    <xf numFmtId="0" fontId="23" fillId="0" borderId="35" xfId="1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57" xfId="1" applyFont="1" applyBorder="1" applyAlignment="1">
      <alignment horizontal="center" vertical="center" shrinkToFit="1"/>
    </xf>
    <xf numFmtId="0" fontId="23" fillId="0" borderId="34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2" xfId="1" applyFont="1" applyBorder="1" applyAlignment="1">
      <alignment horizontal="center" vertical="center" shrinkToFit="1"/>
    </xf>
    <xf numFmtId="0" fontId="23" fillId="0" borderId="17" xfId="1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176" fontId="11" fillId="0" borderId="52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7" fontId="11" fillId="0" borderId="45" xfId="0" applyNumberFormat="1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38" xfId="0" applyNumberFormat="1" applyFont="1" applyBorder="1" applyAlignment="1">
      <alignment horizontal="center" vertical="center" shrinkToFit="1"/>
    </xf>
    <xf numFmtId="176" fontId="11" fillId="0" borderId="59" xfId="0" applyNumberFormat="1" applyFont="1" applyBorder="1" applyAlignment="1">
      <alignment horizontal="center" vertical="center" shrinkToFit="1"/>
    </xf>
    <xf numFmtId="179" fontId="22" fillId="3" borderId="22" xfId="0" applyNumberFormat="1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center" vertical="center" shrinkToFit="1"/>
    </xf>
    <xf numFmtId="0" fontId="15" fillId="3" borderId="22" xfId="0" applyFont="1" applyFill="1" applyBorder="1" applyAlignment="1">
      <alignment vertical="center" shrinkToFit="1"/>
    </xf>
    <xf numFmtId="0" fontId="22" fillId="3" borderId="22" xfId="0" applyFont="1" applyFill="1" applyBorder="1" applyAlignment="1">
      <alignment horizontal="center" vertical="center"/>
    </xf>
    <xf numFmtId="180" fontId="22" fillId="3" borderId="8" xfId="0" applyNumberFormat="1" applyFont="1" applyFill="1" applyBorder="1" applyAlignment="1">
      <alignment horizontal="center" vertical="center" shrinkToFit="1"/>
    </xf>
    <xf numFmtId="0" fontId="22" fillId="3" borderId="28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vertical="center" shrinkToFit="1"/>
    </xf>
    <xf numFmtId="0" fontId="22" fillId="3" borderId="8" xfId="0" applyFont="1" applyFill="1" applyBorder="1" applyAlignment="1">
      <alignment horizontal="center" vertical="center"/>
    </xf>
    <xf numFmtId="179" fontId="22" fillId="3" borderId="8" xfId="0" applyNumberFormat="1" applyFont="1" applyFill="1" applyBorder="1" applyAlignment="1">
      <alignment horizontal="center" vertical="center" shrinkToFit="1"/>
    </xf>
    <xf numFmtId="0" fontId="22" fillId="3" borderId="16" xfId="0" applyFont="1" applyFill="1" applyBorder="1" applyAlignment="1">
      <alignment horizontal="center" vertical="center"/>
    </xf>
    <xf numFmtId="179" fontId="22" fillId="3" borderId="16" xfId="0" applyNumberFormat="1" applyFont="1" applyFill="1" applyBorder="1" applyAlignment="1">
      <alignment horizontal="center" vertical="center" shrinkToFit="1"/>
    </xf>
    <xf numFmtId="0" fontId="22" fillId="3" borderId="51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vertical="center" shrinkToFit="1"/>
    </xf>
    <xf numFmtId="179" fontId="22" fillId="3" borderId="13" xfId="0" applyNumberFormat="1" applyFont="1" applyFill="1" applyBorder="1" applyAlignment="1">
      <alignment horizontal="center" vertical="center" shrinkToFit="1"/>
    </xf>
    <xf numFmtId="0" fontId="22" fillId="3" borderId="52" xfId="0" applyFont="1" applyFill="1" applyBorder="1" applyAlignment="1">
      <alignment horizontal="center" vertical="center" shrinkToFit="1"/>
    </xf>
    <xf numFmtId="178" fontId="15" fillId="3" borderId="13" xfId="0" applyNumberFormat="1" applyFont="1" applyFill="1" applyBorder="1" applyAlignment="1">
      <alignment vertical="center" shrinkToFit="1"/>
    </xf>
    <xf numFmtId="0" fontId="22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vertical="center" shrinkToFit="1"/>
    </xf>
    <xf numFmtId="180" fontId="22" fillId="3" borderId="16" xfId="0" applyNumberFormat="1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left" vertical="center" shrinkToFit="1"/>
    </xf>
    <xf numFmtId="0" fontId="22" fillId="3" borderId="13" xfId="0" applyFont="1" applyFill="1" applyBorder="1" applyAlignment="1">
      <alignment vertical="center" shrinkToFit="1"/>
    </xf>
    <xf numFmtId="0" fontId="15" fillId="3" borderId="28" xfId="0" applyFont="1" applyFill="1" applyBorder="1" applyAlignment="1">
      <alignment horizontal="center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23" fillId="3" borderId="35" xfId="1" applyFont="1" applyFill="1" applyBorder="1" applyAlignment="1">
      <alignment horizontal="center" vertical="center" shrinkToFit="1"/>
    </xf>
    <xf numFmtId="0" fontId="23" fillId="3" borderId="34" xfId="0" applyFont="1" applyFill="1" applyBorder="1" applyAlignment="1">
      <alignment horizontal="center" vertical="center" shrinkToFit="1"/>
    </xf>
    <xf numFmtId="0" fontId="23" fillId="3" borderId="57" xfId="1" applyFont="1" applyFill="1" applyBorder="1" applyAlignment="1">
      <alignment horizontal="center" vertical="center" shrinkToFit="1"/>
    </xf>
    <xf numFmtId="0" fontId="23" fillId="3" borderId="34" xfId="1" applyFont="1" applyFill="1" applyBorder="1" applyAlignment="1">
      <alignment horizontal="center" vertical="center" shrinkToFit="1"/>
    </xf>
    <xf numFmtId="176" fontId="11" fillId="3" borderId="34" xfId="0" applyNumberFormat="1" applyFont="1" applyFill="1" applyBorder="1" applyAlignment="1">
      <alignment horizontal="center" vertical="center" shrinkToFit="1"/>
    </xf>
    <xf numFmtId="176" fontId="11" fillId="3" borderId="22" xfId="0" applyNumberFormat="1" applyFont="1" applyFill="1" applyBorder="1" applyAlignment="1">
      <alignment horizontal="center" vertical="center" shrinkToFit="1"/>
    </xf>
    <xf numFmtId="177" fontId="11" fillId="3" borderId="34" xfId="0" applyNumberFormat="1" applyFont="1" applyFill="1" applyBorder="1" applyAlignment="1">
      <alignment horizontal="center" vertical="center" shrinkToFit="1"/>
    </xf>
    <xf numFmtId="177" fontId="11" fillId="3" borderId="58" xfId="0" applyNumberFormat="1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76" fontId="11" fillId="3" borderId="24" xfId="0" applyNumberFormat="1" applyFont="1" applyFill="1" applyBorder="1" applyAlignment="1">
      <alignment horizontal="center" vertical="center" shrinkToFit="1"/>
    </xf>
    <xf numFmtId="177" fontId="11" fillId="3" borderId="23" xfId="0" applyNumberFormat="1" applyFont="1" applyFill="1" applyBorder="1" applyAlignment="1">
      <alignment horizontal="center" vertical="center" shrinkToFit="1"/>
    </xf>
    <xf numFmtId="177" fontId="11" fillId="3" borderId="30" xfId="0" applyNumberFormat="1" applyFont="1" applyFill="1" applyBorder="1" applyAlignment="1">
      <alignment horizontal="center" vertical="center" shrinkToFit="1"/>
    </xf>
    <xf numFmtId="0" fontId="23" fillId="3" borderId="8" xfId="0" applyFont="1" applyFill="1" applyBorder="1" applyAlignment="1">
      <alignment horizontal="center" vertical="center" shrinkToFit="1"/>
    </xf>
    <xf numFmtId="176" fontId="11" fillId="3" borderId="28" xfId="0" applyNumberFormat="1" applyFont="1" applyFill="1" applyBorder="1" applyAlignment="1">
      <alignment horizontal="center" vertical="center" shrinkToFit="1"/>
    </xf>
    <xf numFmtId="176" fontId="11" fillId="3" borderId="8" xfId="0" applyNumberFormat="1" applyFont="1" applyFill="1" applyBorder="1" applyAlignment="1">
      <alignment horizontal="center" vertical="center" shrinkToFit="1"/>
    </xf>
    <xf numFmtId="176" fontId="11" fillId="3" borderId="16" xfId="0" applyNumberFormat="1" applyFont="1" applyFill="1" applyBorder="1" applyAlignment="1">
      <alignment horizontal="center" vertical="center" shrinkToFit="1"/>
    </xf>
    <xf numFmtId="177" fontId="11" fillId="3" borderId="26" xfId="0" applyNumberFormat="1" applyFont="1" applyFill="1" applyBorder="1" applyAlignment="1">
      <alignment horizontal="center" vertical="center" shrinkToFit="1"/>
    </xf>
    <xf numFmtId="177" fontId="11" fillId="3" borderId="31" xfId="0" applyNumberFormat="1" applyFont="1" applyFill="1" applyBorder="1" applyAlignment="1">
      <alignment horizontal="center" vertical="center" shrinkToFit="1"/>
    </xf>
    <xf numFmtId="0" fontId="0" fillId="3" borderId="54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23" fillId="3" borderId="38" xfId="1" applyFont="1" applyFill="1" applyBorder="1" applyAlignment="1">
      <alignment horizontal="center" vertical="center" shrinkToFit="1"/>
    </xf>
    <xf numFmtId="0" fontId="23" fillId="3" borderId="38" xfId="0" applyFont="1" applyFill="1" applyBorder="1" applyAlignment="1">
      <alignment horizontal="center" vertical="center" shrinkToFit="1"/>
    </xf>
    <xf numFmtId="176" fontId="11" fillId="3" borderId="17" xfId="0" applyNumberFormat="1" applyFont="1" applyFill="1" applyBorder="1" applyAlignment="1">
      <alignment horizontal="center" vertical="center" shrinkToFit="1"/>
    </xf>
    <xf numFmtId="176" fontId="11" fillId="3" borderId="18" xfId="0" applyNumberFormat="1" applyFont="1" applyFill="1" applyBorder="1" applyAlignment="1">
      <alignment horizontal="center" vertical="center" shrinkToFit="1"/>
    </xf>
    <xf numFmtId="176" fontId="11" fillId="3" borderId="59" xfId="0" applyNumberFormat="1" applyFont="1" applyFill="1" applyBorder="1" applyAlignment="1">
      <alignment horizontal="center" vertical="center" shrinkToFit="1"/>
    </xf>
    <xf numFmtId="177" fontId="11" fillId="3" borderId="19" xfId="0" applyNumberFormat="1" applyFont="1" applyFill="1" applyBorder="1" applyAlignment="1">
      <alignment horizontal="center" vertical="center" shrinkToFit="1"/>
    </xf>
    <xf numFmtId="177" fontId="11" fillId="3" borderId="55" xfId="0" applyNumberFormat="1" applyFont="1" applyFill="1" applyBorder="1" applyAlignment="1">
      <alignment horizontal="center" vertical="center" shrinkToFit="1"/>
    </xf>
    <xf numFmtId="0" fontId="25" fillId="3" borderId="8" xfId="1" applyFont="1" applyFill="1" applyBorder="1" applyAlignment="1">
      <alignment horizontal="center" vertical="center" shrinkToFit="1"/>
    </xf>
    <xf numFmtId="0" fontId="23" fillId="0" borderId="16" xfId="1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176" fontId="11" fillId="0" borderId="51" xfId="0" applyNumberFormat="1" applyFont="1" applyBorder="1" applyAlignment="1">
      <alignment horizontal="center" vertical="center" shrinkToFit="1"/>
    </xf>
    <xf numFmtId="177" fontId="11" fillId="0" borderId="60" xfId="0" applyNumberFormat="1" applyFont="1" applyBorder="1" applyAlignment="1">
      <alignment horizontal="center" vertical="center" shrinkToFit="1"/>
    </xf>
    <xf numFmtId="177" fontId="11" fillId="0" borderId="61" xfId="0" applyNumberFormat="1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3" fillId="0" borderId="63" xfId="1" applyFont="1" applyBorder="1" applyAlignment="1">
      <alignment horizontal="center" vertical="center" shrinkToFit="1"/>
    </xf>
    <xf numFmtId="0" fontId="23" fillId="0" borderId="63" xfId="0" applyFont="1" applyBorder="1" applyAlignment="1">
      <alignment horizontal="center" vertical="center" shrinkToFit="1"/>
    </xf>
    <xf numFmtId="176" fontId="11" fillId="0" borderId="64" xfId="0" applyNumberFormat="1" applyFont="1" applyBorder="1" applyAlignment="1">
      <alignment horizontal="center" vertical="center" shrinkToFit="1"/>
    </xf>
    <xf numFmtId="176" fontId="11" fillId="0" borderId="63" xfId="0" applyNumberFormat="1" applyFont="1" applyBorder="1" applyAlignment="1">
      <alignment horizontal="center" vertical="center" shrinkToFit="1"/>
    </xf>
    <xf numFmtId="177" fontId="11" fillId="0" borderId="65" xfId="0" applyNumberFormat="1" applyFont="1" applyBorder="1" applyAlignment="1">
      <alignment horizontal="center" vertical="center" shrinkToFit="1"/>
    </xf>
    <xf numFmtId="177" fontId="11" fillId="0" borderId="66" xfId="0" applyNumberFormat="1" applyFont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shrinkToFit="1"/>
    </xf>
    <xf numFmtId="176" fontId="11" fillId="3" borderId="26" xfId="0" applyNumberFormat="1" applyFont="1" applyFill="1" applyBorder="1" applyAlignment="1">
      <alignment horizontal="center" vertical="center" shrinkToFit="1"/>
    </xf>
    <xf numFmtId="177" fontId="11" fillId="3" borderId="27" xfId="0" applyNumberFormat="1" applyFont="1" applyFill="1" applyBorder="1" applyAlignment="1">
      <alignment horizontal="center" vertical="center" shrinkToFit="1"/>
    </xf>
    <xf numFmtId="176" fontId="11" fillId="3" borderId="7" xfId="0" applyNumberFormat="1" applyFont="1" applyFill="1" applyBorder="1" applyAlignment="1">
      <alignment horizontal="center" vertical="center" shrinkToFit="1"/>
    </xf>
    <xf numFmtId="176" fontId="11" fillId="3" borderId="38" xfId="0" applyNumberFormat="1" applyFont="1" applyFill="1" applyBorder="1" applyAlignment="1">
      <alignment horizontal="center" vertical="center" shrinkToFit="1"/>
    </xf>
    <xf numFmtId="176" fontId="11" fillId="0" borderId="67" xfId="0" applyNumberFormat="1" applyFont="1" applyBorder="1" applyAlignment="1">
      <alignment horizontal="center" vertical="center" shrinkToFit="1"/>
    </xf>
    <xf numFmtId="177" fontId="11" fillId="0" borderId="17" xfId="0" applyNumberFormat="1" applyFont="1" applyBorder="1" applyAlignment="1">
      <alignment horizontal="center" vertical="center" shrinkToFit="1"/>
    </xf>
    <xf numFmtId="0" fontId="17" fillId="0" borderId="3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2" borderId="39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49" xfId="0" applyFont="1" applyFill="1" applyBorder="1" applyAlignment="1">
      <alignment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5" fillId="0" borderId="46" xfId="0" applyFont="1" applyBorder="1">
      <alignment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0" xfId="0" applyFont="1">
      <alignment vertical="center"/>
    </xf>
    <xf numFmtId="0" fontId="15" fillId="0" borderId="49" xfId="0" applyFont="1" applyBorder="1">
      <alignment vertical="center"/>
    </xf>
    <xf numFmtId="0" fontId="15" fillId="0" borderId="39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49" xfId="0" applyFont="1" applyBorder="1" applyAlignment="1">
      <alignment vertical="top" wrapText="1"/>
    </xf>
    <xf numFmtId="0" fontId="18" fillId="0" borderId="41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18" fillId="0" borderId="50" xfId="0" applyFont="1" applyBorder="1" applyAlignment="1">
      <alignment horizontal="right" vertical="center"/>
    </xf>
    <xf numFmtId="0" fontId="20" fillId="0" borderId="41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15" fillId="0" borderId="3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176" fontId="10" fillId="0" borderId="38" xfId="0" applyNumberFormat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9" fillId="0" borderId="26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3" fillId="0" borderId="35" xfId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23" fillId="4" borderId="26" xfId="1" applyFont="1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29" fillId="3" borderId="26" xfId="1" applyFont="1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 wrapText="1"/>
    </xf>
    <xf numFmtId="177" fontId="10" fillId="0" borderId="9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26" xfId="1" applyFont="1" applyBorder="1" applyAlignment="1">
      <alignment horizontal="center" vertical="center" shrinkToFit="1"/>
    </xf>
    <xf numFmtId="0" fontId="23" fillId="3" borderId="26" xfId="1" applyFont="1" applyFill="1" applyBorder="1" applyAlignment="1">
      <alignment horizontal="center" vertical="center" shrinkToFit="1"/>
    </xf>
  </cellXfs>
  <cellStyles count="3">
    <cellStyle name="一般" xfId="0" builtinId="0"/>
    <cellStyle name="一般 2 2" xfId="1"/>
    <cellStyle name="一般_食材明細表(2)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3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13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112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年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3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月份午餐菜單</a:t>
          </a:r>
        </a:p>
      </xdr:txBody>
    </xdr:sp>
    <xdr:clientData/>
  </xdr:twoCellAnchor>
  <xdr:twoCellAnchor>
    <xdr:from>
      <xdr:col>4</xdr:col>
      <xdr:colOff>1564725</xdr:colOff>
      <xdr:row>33</xdr:row>
      <xdr:rowOff>106456</xdr:rowOff>
    </xdr:from>
    <xdr:to>
      <xdr:col>6</xdr:col>
      <xdr:colOff>771542</xdr:colOff>
      <xdr:row>34</xdr:row>
      <xdr:rowOff>166810</xdr:rowOff>
    </xdr:to>
    <xdr:sp macro="" textlink="">
      <xdr:nvSpPr>
        <xdr:cNvPr id="4" name="WordArt 50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40254" y="11077015"/>
          <a:ext cx="3420229" cy="30688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☆本月菜單每日所提供的平均鈣含量為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272mg</a:t>
          </a:r>
        </a:p>
      </xdr:txBody>
    </xdr:sp>
    <xdr:clientData/>
  </xdr:twoCellAnchor>
  <xdr:twoCellAnchor>
    <xdr:from>
      <xdr:col>3</xdr:col>
      <xdr:colOff>964478</xdr:colOff>
      <xdr:row>47</xdr:row>
      <xdr:rowOff>134081</xdr:rowOff>
    </xdr:from>
    <xdr:to>
      <xdr:col>13</xdr:col>
      <xdr:colOff>102668</xdr:colOff>
      <xdr:row>47</xdr:row>
      <xdr:rowOff>485524</xdr:rowOff>
    </xdr:to>
    <xdr:sp macro="" textlink="">
      <xdr:nvSpPr>
        <xdr:cNvPr id="6" name="WordArt 50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10890" y="13648375"/>
          <a:ext cx="9649307" cy="3514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6</xdr:col>
      <xdr:colOff>974085</xdr:colOff>
      <xdr:row>33</xdr:row>
      <xdr:rowOff>135381</xdr:rowOff>
    </xdr:from>
    <xdr:to>
      <xdr:col>13</xdr:col>
      <xdr:colOff>43500</xdr:colOff>
      <xdr:row>34</xdr:row>
      <xdr:rowOff>182679</xdr:rowOff>
    </xdr:to>
    <xdr:sp macro="" textlink="">
      <xdr:nvSpPr>
        <xdr:cNvPr id="8" name="WordArt 50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63026" y="11105940"/>
          <a:ext cx="3238003" cy="29382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☆本月菜單每日所提供的平均鈉含量為8</a:t>
          </a:r>
          <a:r>
            <a:rPr kumimoji="0" lang="en-US" altLang="zh-TW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62</a:t>
          </a: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mg</a:t>
          </a:r>
        </a:p>
      </xdr:txBody>
    </xdr:sp>
    <xdr:clientData/>
  </xdr:twoCellAnchor>
  <xdr:twoCellAnchor editAs="oneCell">
    <xdr:from>
      <xdr:col>4</xdr:col>
      <xdr:colOff>1622052</xdr:colOff>
      <xdr:row>34</xdr:row>
      <xdr:rowOff>153520</xdr:rowOff>
    </xdr:from>
    <xdr:to>
      <xdr:col>5</xdr:col>
      <xdr:colOff>31377</xdr:colOff>
      <xdr:row>36</xdr:row>
      <xdr:rowOff>210670</xdr:rowOff>
    </xdr:to>
    <xdr:pic>
      <xdr:nvPicPr>
        <xdr:cNvPr id="11" name="圖片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8993" y="10704979"/>
          <a:ext cx="542925" cy="54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472328</xdr:colOff>
      <xdr:row>34</xdr:row>
      <xdr:rowOff>137272</xdr:rowOff>
    </xdr:from>
    <xdr:to>
      <xdr:col>3</xdr:col>
      <xdr:colOff>1681</xdr:colOff>
      <xdr:row>36</xdr:row>
      <xdr:rowOff>184897</xdr:rowOff>
    </xdr:to>
    <xdr:pic>
      <xdr:nvPicPr>
        <xdr:cNvPr id="12" name="圖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688731"/>
          <a:ext cx="533400" cy="531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1615888</xdr:colOff>
      <xdr:row>34</xdr:row>
      <xdr:rowOff>142315</xdr:rowOff>
    </xdr:from>
    <xdr:to>
      <xdr:col>4</xdr:col>
      <xdr:colOff>205441</xdr:colOff>
      <xdr:row>36</xdr:row>
      <xdr:rowOff>189940</xdr:rowOff>
    </xdr:to>
    <xdr:pic>
      <xdr:nvPicPr>
        <xdr:cNvPr id="13" name="圖片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382" y="10693774"/>
          <a:ext cx="508000" cy="531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1227606</xdr:colOff>
      <xdr:row>34</xdr:row>
      <xdr:rowOff>123826</xdr:rowOff>
    </xdr:from>
    <xdr:to>
      <xdr:col>6</xdr:col>
      <xdr:colOff>130550</xdr:colOff>
      <xdr:row>36</xdr:row>
      <xdr:rowOff>171451</xdr:rowOff>
    </xdr:to>
    <xdr:pic>
      <xdr:nvPicPr>
        <xdr:cNvPr id="14" name="圖片 2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8147" y="10675285"/>
          <a:ext cx="552450" cy="531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19610</xdr:colOff>
      <xdr:row>8</xdr:row>
      <xdr:rowOff>33617</xdr:rowOff>
    </xdr:from>
    <xdr:to>
      <xdr:col>3</xdr:col>
      <xdr:colOff>2106706</xdr:colOff>
      <xdr:row>8</xdr:row>
      <xdr:rowOff>371474</xdr:rowOff>
    </xdr:to>
    <xdr:pic>
      <xdr:nvPicPr>
        <xdr:cNvPr id="37" name="圖片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022" y="1523999"/>
          <a:ext cx="2087096" cy="33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874057</xdr:colOff>
      <xdr:row>43</xdr:row>
      <xdr:rowOff>44825</xdr:rowOff>
    </xdr:from>
    <xdr:to>
      <xdr:col>13</xdr:col>
      <xdr:colOff>123262</xdr:colOff>
      <xdr:row>45</xdr:row>
      <xdr:rowOff>232102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25233" y="12819531"/>
          <a:ext cx="5255558" cy="68033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☆本校一律使用臺灣國產豬肉食材</a:t>
          </a:r>
        </a:p>
      </xdr:txBody>
    </xdr:sp>
    <xdr:clientData/>
  </xdr:twoCellAnchor>
  <xdr:twoCellAnchor>
    <xdr:from>
      <xdr:col>5</xdr:col>
      <xdr:colOff>759759</xdr:colOff>
      <xdr:row>36</xdr:row>
      <xdr:rowOff>331694</xdr:rowOff>
    </xdr:from>
    <xdr:to>
      <xdr:col>12</xdr:col>
      <xdr:colOff>349624</xdr:colOff>
      <xdr:row>36</xdr:row>
      <xdr:rowOff>591226</xdr:rowOff>
    </xdr:to>
    <xdr:sp macro="" textlink="">
      <xdr:nvSpPr>
        <xdr:cNvPr id="19" name="WordArt 50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10300" y="11367247"/>
          <a:ext cx="4601136" cy="2595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午餐菜色照片及食材明細，可上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『</a:t>
          </a:r>
          <a:r>
            <a:rPr kumimoji="0" lang="zh-TW" altLang="en-US" sz="11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 panose="02020500000000000000" pitchFamily="18" charset="-120"/>
              <a:cs typeface="+mn-cs"/>
            </a:rPr>
            <a:t>校園食材登錄平臺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』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查詢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0</xdr:col>
      <xdr:colOff>123265</xdr:colOff>
      <xdr:row>36</xdr:row>
      <xdr:rowOff>403412</xdr:rowOff>
    </xdr:from>
    <xdr:to>
      <xdr:col>5</xdr:col>
      <xdr:colOff>302559</xdr:colOff>
      <xdr:row>36</xdr:row>
      <xdr:rowOff>627530</xdr:rowOff>
    </xdr:to>
    <xdr:sp macro="" textlink="">
      <xdr:nvSpPr>
        <xdr:cNvPr id="15" name="WordArt 50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265" y="10985687"/>
          <a:ext cx="6237194" cy="22411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5014</xdr:colOff>
      <xdr:row>15</xdr:row>
      <xdr:rowOff>11205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6412" y="3776382"/>
          <a:ext cx="2134131" cy="392205"/>
        </a:xfrm>
        <a:prstGeom prst="rect">
          <a:avLst/>
        </a:prstGeom>
      </xdr:spPr>
    </xdr:pic>
    <xdr:clientData/>
  </xdr:twoCellAnchor>
  <xdr:twoCellAnchor editAs="oneCell">
    <xdr:from>
      <xdr:col>3</xdr:col>
      <xdr:colOff>87405</xdr:colOff>
      <xdr:row>30</xdr:row>
      <xdr:rowOff>22411</xdr:rowOff>
    </xdr:from>
    <xdr:to>
      <xdr:col>3</xdr:col>
      <xdr:colOff>2116567</xdr:colOff>
      <xdr:row>30</xdr:row>
      <xdr:rowOff>357720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3817" y="9513793"/>
          <a:ext cx="2029162" cy="335309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</xdr:colOff>
      <xdr:row>21</xdr:row>
      <xdr:rowOff>0</xdr:rowOff>
    </xdr:from>
    <xdr:to>
      <xdr:col>4</xdr:col>
      <xdr:colOff>0</xdr:colOff>
      <xdr:row>22</xdr:row>
      <xdr:rowOff>22412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617" y="6443382"/>
          <a:ext cx="2117912" cy="40341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212912</xdr:colOff>
      <xdr:row>10</xdr:row>
      <xdr:rowOff>225585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6412" y="2633382"/>
          <a:ext cx="212912" cy="225585"/>
        </a:xfrm>
        <a:prstGeom prst="rect">
          <a:avLst/>
        </a:prstGeom>
      </xdr:spPr>
    </xdr:pic>
    <xdr:clientData/>
  </xdr:twoCellAnchor>
  <xdr:twoCellAnchor editAs="oneCell">
    <xdr:from>
      <xdr:col>3</xdr:col>
      <xdr:colOff>35860</xdr:colOff>
      <xdr:row>28</xdr:row>
      <xdr:rowOff>376517</xdr:rowOff>
    </xdr:from>
    <xdr:to>
      <xdr:col>3</xdr:col>
      <xdr:colOff>268942</xdr:colOff>
      <xdr:row>29</xdr:row>
      <xdr:rowOff>237437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4354" y="9188823"/>
          <a:ext cx="233082" cy="246402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201706</xdr:colOff>
      <xdr:row>8</xdr:row>
      <xdr:rowOff>369793</xdr:rowOff>
    </xdr:from>
    <xdr:to>
      <xdr:col>2</xdr:col>
      <xdr:colOff>221505</xdr:colOff>
      <xdr:row>9</xdr:row>
      <xdr:rowOff>224117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5824" y="2241175"/>
          <a:ext cx="232710" cy="23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12</xdr:row>
      <xdr:rowOff>358588</xdr:rowOff>
    </xdr:from>
    <xdr:to>
      <xdr:col>2</xdr:col>
      <xdr:colOff>216412</xdr:colOff>
      <xdr:row>13</xdr:row>
      <xdr:rowOff>224118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4616" y="3753970"/>
          <a:ext cx="238825" cy="2465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188992</xdr:colOff>
      <xdr:row>17</xdr:row>
      <xdr:rowOff>195089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29" y="4919382"/>
          <a:ext cx="188992" cy="19508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224118</xdr:colOff>
      <xdr:row>20</xdr:row>
      <xdr:rowOff>231348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29" y="6443382"/>
          <a:ext cx="224118" cy="2313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225572</xdr:colOff>
      <xdr:row>8</xdr:row>
      <xdr:rowOff>225572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1871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225572</xdr:colOff>
      <xdr:row>10</xdr:row>
      <xdr:rowOff>225572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2633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225572</xdr:colOff>
      <xdr:row>11</xdr:row>
      <xdr:rowOff>225572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3014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2330823</xdr:colOff>
      <xdr:row>12</xdr:row>
      <xdr:rowOff>369794</xdr:rowOff>
    </xdr:from>
    <xdr:to>
      <xdr:col>5</xdr:col>
      <xdr:colOff>180748</xdr:colOff>
      <xdr:row>13</xdr:row>
      <xdr:rowOff>214366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06352" y="3765176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225572</xdr:colOff>
      <xdr:row>15</xdr:row>
      <xdr:rowOff>225572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4538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1707777</xdr:colOff>
      <xdr:row>16</xdr:row>
      <xdr:rowOff>13448</xdr:rowOff>
    </xdr:from>
    <xdr:to>
      <xdr:col>4</xdr:col>
      <xdr:colOff>1933349</xdr:colOff>
      <xdr:row>16</xdr:row>
      <xdr:rowOff>234538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83306" y="4551830"/>
          <a:ext cx="225572" cy="22109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2286000</xdr:colOff>
      <xdr:row>20</xdr:row>
      <xdr:rowOff>11206</xdr:rowOff>
    </xdr:from>
    <xdr:to>
      <xdr:col>5</xdr:col>
      <xdr:colOff>135925</xdr:colOff>
      <xdr:row>20</xdr:row>
      <xdr:rowOff>236778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61529" y="6454588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225572</xdr:colOff>
      <xdr:row>21</xdr:row>
      <xdr:rowOff>225572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6824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225572</xdr:colOff>
      <xdr:row>23</xdr:row>
      <xdr:rowOff>225572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7586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225572</xdr:colOff>
      <xdr:row>26</xdr:row>
      <xdr:rowOff>225572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8348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225572</xdr:colOff>
      <xdr:row>29</xdr:row>
      <xdr:rowOff>225572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9491382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243861</xdr:colOff>
      <xdr:row>8</xdr:row>
      <xdr:rowOff>243861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75529" y="1871382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3</xdr:col>
      <xdr:colOff>1893794</xdr:colOff>
      <xdr:row>9</xdr:row>
      <xdr:rowOff>369794</xdr:rowOff>
    </xdr:from>
    <xdr:to>
      <xdr:col>4</xdr:col>
      <xdr:colOff>8538</xdr:colOff>
      <xdr:row>10</xdr:row>
      <xdr:rowOff>232655</xdr:rowOff>
    </xdr:to>
    <xdr:pic>
      <xdr:nvPicPr>
        <xdr:cNvPr id="54" name="圖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40206" y="2622176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179293</xdr:colOff>
      <xdr:row>13</xdr:row>
      <xdr:rowOff>190501</xdr:rowOff>
    </xdr:from>
    <xdr:to>
      <xdr:col>2</xdr:col>
      <xdr:colOff>210243</xdr:colOff>
      <xdr:row>14</xdr:row>
      <xdr:rowOff>53363</xdr:rowOff>
    </xdr:to>
    <xdr:pic>
      <xdr:nvPicPr>
        <xdr:cNvPr id="55" name="圖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3411" y="3966883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190500</xdr:rowOff>
    </xdr:from>
    <xdr:to>
      <xdr:col>2</xdr:col>
      <xdr:colOff>243861</xdr:colOff>
      <xdr:row>21</xdr:row>
      <xdr:rowOff>53360</xdr:rowOff>
    </xdr:to>
    <xdr:pic>
      <xdr:nvPicPr>
        <xdr:cNvPr id="58" name="圖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7029" y="6633882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243861</xdr:colOff>
      <xdr:row>21</xdr:row>
      <xdr:rowOff>243861</xdr:rowOff>
    </xdr:to>
    <xdr:pic>
      <xdr:nvPicPr>
        <xdr:cNvPr id="59" name="圖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88941" y="6824382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29</xdr:row>
      <xdr:rowOff>190500</xdr:rowOff>
    </xdr:from>
    <xdr:to>
      <xdr:col>3</xdr:col>
      <xdr:colOff>266273</xdr:colOff>
      <xdr:row>30</xdr:row>
      <xdr:rowOff>53360</xdr:rowOff>
    </xdr:to>
    <xdr:pic>
      <xdr:nvPicPr>
        <xdr:cNvPr id="61" name="圖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8824" y="9681882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243861</xdr:colOff>
      <xdr:row>22</xdr:row>
      <xdr:rowOff>243861</xdr:rowOff>
    </xdr:to>
    <xdr:pic>
      <xdr:nvPicPr>
        <xdr:cNvPr id="62" name="圖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7029" y="7205382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243861</xdr:colOff>
      <xdr:row>7</xdr:row>
      <xdr:rowOff>243861</xdr:rowOff>
    </xdr:to>
    <xdr:pic>
      <xdr:nvPicPr>
        <xdr:cNvPr id="63" name="圖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7029" y="1490382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243861</xdr:colOff>
      <xdr:row>28</xdr:row>
      <xdr:rowOff>243861</xdr:rowOff>
    </xdr:to>
    <xdr:pic>
      <xdr:nvPicPr>
        <xdr:cNvPr id="64" name="圖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7029" y="9110382"/>
          <a:ext cx="243861" cy="243861"/>
        </a:xfrm>
        <a:prstGeom prst="rect">
          <a:avLst/>
        </a:prstGeom>
      </xdr:spPr>
    </xdr:pic>
    <xdr:clientData/>
  </xdr:twoCellAnchor>
  <xdr:twoCellAnchor>
    <xdr:from>
      <xdr:col>2</xdr:col>
      <xdr:colOff>815787</xdr:colOff>
      <xdr:row>17</xdr:row>
      <xdr:rowOff>374276</xdr:rowOff>
    </xdr:from>
    <xdr:to>
      <xdr:col>3</xdr:col>
      <xdr:colOff>737345</xdr:colOff>
      <xdr:row>18</xdr:row>
      <xdr:rowOff>324972</xdr:rowOff>
    </xdr:to>
    <xdr:sp macro="" textlink="">
      <xdr:nvSpPr>
        <xdr:cNvPr id="71" name="文字方塊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210234" y="5717241"/>
          <a:ext cx="925605" cy="336178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客家</a:t>
          </a:r>
          <a:endParaRPr kumimoji="0" lang="en-US" altLang="zh-TW" sz="16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</xdr:txBody>
    </xdr:sp>
    <xdr:clientData/>
  </xdr:twoCellAnchor>
  <xdr:twoCellAnchor>
    <xdr:from>
      <xdr:col>5</xdr:col>
      <xdr:colOff>1736912</xdr:colOff>
      <xdr:row>14</xdr:row>
      <xdr:rowOff>358589</xdr:rowOff>
    </xdr:from>
    <xdr:to>
      <xdr:col>6</xdr:col>
      <xdr:colOff>648819</xdr:colOff>
      <xdr:row>15</xdr:row>
      <xdr:rowOff>280148</xdr:rowOff>
    </xdr:to>
    <xdr:sp macro="" textlink="">
      <xdr:nvSpPr>
        <xdr:cNvPr id="72" name="文字方塊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788088" y="4515971"/>
          <a:ext cx="749672" cy="302559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日本</a:t>
          </a:r>
        </a:p>
      </xdr:txBody>
    </xdr:sp>
    <xdr:clientData/>
  </xdr:twoCellAnchor>
  <xdr:twoCellAnchor>
    <xdr:from>
      <xdr:col>2</xdr:col>
      <xdr:colOff>266699</xdr:colOff>
      <xdr:row>16</xdr:row>
      <xdr:rowOff>38101</xdr:rowOff>
    </xdr:from>
    <xdr:to>
      <xdr:col>2</xdr:col>
      <xdr:colOff>1002925</xdr:colOff>
      <xdr:row>16</xdr:row>
      <xdr:rowOff>333937</xdr:rowOff>
    </xdr:to>
    <xdr:sp macro="" textlink="">
      <xdr:nvSpPr>
        <xdr:cNvPr id="73" name="文字方塊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61146" y="4610101"/>
          <a:ext cx="736226" cy="295836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韓國</a:t>
          </a:r>
        </a:p>
      </xdr:txBody>
    </xdr:sp>
    <xdr:clientData/>
  </xdr:twoCellAnchor>
  <xdr:twoCellAnchor>
    <xdr:from>
      <xdr:col>3</xdr:col>
      <xdr:colOff>1380565</xdr:colOff>
      <xdr:row>17</xdr:row>
      <xdr:rowOff>0</xdr:rowOff>
    </xdr:from>
    <xdr:to>
      <xdr:col>4</xdr:col>
      <xdr:colOff>421341</xdr:colOff>
      <xdr:row>17</xdr:row>
      <xdr:rowOff>246531</xdr:rowOff>
    </xdr:to>
    <xdr:sp macro="" textlink="">
      <xdr:nvSpPr>
        <xdr:cNvPr id="74" name="文字方塊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779059" y="4908178"/>
          <a:ext cx="959223" cy="295835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 panose="02020500000000000000" pitchFamily="18" charset="-120"/>
              <a:cs typeface="+mn-cs"/>
            </a:rPr>
            <a:t>西班</a:t>
          </a:r>
          <a:r>
            <a:rPr kumimoji="0" lang="zh-TW" altLang="en-US" sz="16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 panose="02020500000000000000" pitchFamily="18" charset="-120"/>
              <a:cs typeface="+mn-cs"/>
            </a:rPr>
            <a:t>牙</a:t>
          </a:r>
        </a:p>
      </xdr:txBody>
    </xdr:sp>
    <xdr:clientData/>
  </xdr:twoCellAnchor>
  <xdr:twoCellAnchor>
    <xdr:from>
      <xdr:col>4</xdr:col>
      <xdr:colOff>0</xdr:colOff>
      <xdr:row>19</xdr:row>
      <xdr:rowOff>35859</xdr:rowOff>
    </xdr:from>
    <xdr:to>
      <xdr:col>4</xdr:col>
      <xdr:colOff>1030941</xdr:colOff>
      <xdr:row>19</xdr:row>
      <xdr:rowOff>336177</xdr:rowOff>
    </xdr:to>
    <xdr:sp macro="" textlink="">
      <xdr:nvSpPr>
        <xdr:cNvPr id="75" name="文字方塊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316941" y="5764306"/>
          <a:ext cx="1030941" cy="300318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臺灣</a:t>
          </a:r>
          <a:endParaRPr kumimoji="0" lang="en-US" altLang="zh-TW" sz="16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</xdr:txBody>
    </xdr:sp>
    <xdr:clientData/>
  </xdr:twoCellAnchor>
  <xdr:oneCellAnchor>
    <xdr:from>
      <xdr:col>1</xdr:col>
      <xdr:colOff>201705</xdr:colOff>
      <xdr:row>15</xdr:row>
      <xdr:rowOff>369794</xdr:rowOff>
    </xdr:from>
    <xdr:ext cx="210938" cy="239806"/>
    <xdr:pic>
      <xdr:nvPicPr>
        <xdr:cNvPr id="60" name="圖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0273" y="5712759"/>
          <a:ext cx="210938" cy="239806"/>
        </a:xfrm>
        <a:prstGeom prst="rect">
          <a:avLst/>
        </a:prstGeom>
      </xdr:spPr>
    </xdr:pic>
    <xdr:clientData/>
  </xdr:oneCellAnchor>
  <xdr:oneCellAnchor>
    <xdr:from>
      <xdr:col>1</xdr:col>
      <xdr:colOff>190499</xdr:colOff>
      <xdr:row>16</xdr:row>
      <xdr:rowOff>190500</xdr:rowOff>
    </xdr:from>
    <xdr:ext cx="219209" cy="248343"/>
    <xdr:pic>
      <xdr:nvPicPr>
        <xdr:cNvPr id="66" name="圖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6687" y="5918947"/>
          <a:ext cx="219209" cy="248343"/>
        </a:xfrm>
        <a:prstGeom prst="rect">
          <a:avLst/>
        </a:prstGeom>
      </xdr:spPr>
    </xdr:pic>
    <xdr:clientData/>
  </xdr:oneCellAnchor>
  <xdr:oneCellAnchor>
    <xdr:from>
      <xdr:col>1</xdr:col>
      <xdr:colOff>190498</xdr:colOff>
      <xdr:row>18</xdr:row>
      <xdr:rowOff>358588</xdr:rowOff>
    </xdr:from>
    <xdr:ext cx="214173" cy="251012"/>
    <xdr:pic>
      <xdr:nvPicPr>
        <xdr:cNvPr id="68" name="圖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6686" y="3388659"/>
          <a:ext cx="214173" cy="251012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17</xdr:row>
      <xdr:rowOff>347382</xdr:rowOff>
    </xdr:from>
    <xdr:ext cx="181645" cy="230054"/>
    <xdr:pic>
      <xdr:nvPicPr>
        <xdr:cNvPr id="69" name="圖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5266764"/>
          <a:ext cx="181645" cy="230054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24</xdr:row>
      <xdr:rowOff>369794</xdr:rowOff>
    </xdr:from>
    <xdr:to>
      <xdr:col>5</xdr:col>
      <xdr:colOff>225572</xdr:colOff>
      <xdr:row>25</xdr:row>
      <xdr:rowOff>214366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774874E3-AC08-4C32-8342-D7C592A15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1176" y="7956176"/>
          <a:ext cx="225572" cy="225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12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111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年</a:t>
          </a:r>
          <a:r>
            <a:rPr lang="en-US" altLang="zh-TW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3</a:t>
          </a: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月份午餐素菜單</a:t>
          </a:r>
        </a:p>
      </xdr:txBody>
    </xdr:sp>
    <xdr:clientData/>
  </xdr:twoCellAnchor>
  <xdr:twoCellAnchor>
    <xdr:from>
      <xdr:col>3</xdr:col>
      <xdr:colOff>964478</xdr:colOff>
      <xdr:row>43</xdr:row>
      <xdr:rowOff>134081</xdr:rowOff>
    </xdr:from>
    <xdr:to>
      <xdr:col>12</xdr:col>
      <xdr:colOff>102668</xdr:colOff>
      <xdr:row>43</xdr:row>
      <xdr:rowOff>485524</xdr:rowOff>
    </xdr:to>
    <xdr:sp macro="" textlink="">
      <xdr:nvSpPr>
        <xdr:cNvPr id="5" name="WordArt 50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17053" y="13650056"/>
          <a:ext cx="9634740" cy="3514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2</xdr:col>
      <xdr:colOff>258637</xdr:colOff>
      <xdr:row>33</xdr:row>
      <xdr:rowOff>144556</xdr:rowOff>
    </xdr:from>
    <xdr:to>
      <xdr:col>2</xdr:col>
      <xdr:colOff>801562</xdr:colOff>
      <xdr:row>35</xdr:row>
      <xdr:rowOff>201706</xdr:rowOff>
    </xdr:to>
    <xdr:pic>
      <xdr:nvPicPr>
        <xdr:cNvPr id="7" name="圖片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615" y="10622056"/>
          <a:ext cx="542925" cy="554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814840</xdr:colOff>
      <xdr:row>33</xdr:row>
      <xdr:rowOff>141755</xdr:rowOff>
    </xdr:from>
    <xdr:to>
      <xdr:col>3</xdr:col>
      <xdr:colOff>1367290</xdr:colOff>
      <xdr:row>35</xdr:row>
      <xdr:rowOff>189380</xdr:rowOff>
    </xdr:to>
    <xdr:pic>
      <xdr:nvPicPr>
        <xdr:cNvPr id="10" name="圖片 2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970" y="10619255"/>
          <a:ext cx="552450" cy="544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123265</xdr:colOff>
      <xdr:row>35</xdr:row>
      <xdr:rowOff>403412</xdr:rowOff>
    </xdr:from>
    <xdr:to>
      <xdr:col>5</xdr:col>
      <xdr:colOff>302559</xdr:colOff>
      <xdr:row>35</xdr:row>
      <xdr:rowOff>627530</xdr:rowOff>
    </xdr:to>
    <xdr:sp macro="" textlink="">
      <xdr:nvSpPr>
        <xdr:cNvPr id="14" name="WordArt 50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265" y="11366687"/>
          <a:ext cx="6237194" cy="22411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1</xdr:col>
      <xdr:colOff>201706</xdr:colOff>
      <xdr:row>9</xdr:row>
      <xdr:rowOff>369793</xdr:rowOff>
    </xdr:from>
    <xdr:to>
      <xdr:col>2</xdr:col>
      <xdr:colOff>221505</xdr:colOff>
      <xdr:row>10</xdr:row>
      <xdr:rowOff>224118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306" y="2246218"/>
          <a:ext cx="229349" cy="23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13</xdr:row>
      <xdr:rowOff>358588</xdr:rowOff>
    </xdr:from>
    <xdr:to>
      <xdr:col>2</xdr:col>
      <xdr:colOff>216412</xdr:colOff>
      <xdr:row>14</xdr:row>
      <xdr:rowOff>224118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9098" y="3759013"/>
          <a:ext cx="235464" cy="2465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188992</xdr:colOff>
      <xdr:row>17</xdr:row>
      <xdr:rowOff>195089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4924425"/>
          <a:ext cx="188992" cy="195089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201705</xdr:colOff>
      <xdr:row>18</xdr:row>
      <xdr:rowOff>369794</xdr:rowOff>
    </xdr:from>
    <xdr:to>
      <xdr:col>2</xdr:col>
      <xdr:colOff>216764</xdr:colOff>
      <xdr:row>19</xdr:row>
      <xdr:rowOff>224118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305" y="5675219"/>
          <a:ext cx="224609" cy="2353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224118</xdr:colOff>
      <xdr:row>21</xdr:row>
      <xdr:rowOff>231348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6448425"/>
          <a:ext cx="224118" cy="231348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7</xdr:row>
      <xdr:rowOff>1</xdr:rowOff>
    </xdr:from>
    <xdr:to>
      <xdr:col>5</xdr:col>
      <xdr:colOff>229155</xdr:colOff>
      <xdr:row>7</xdr:row>
      <xdr:rowOff>224119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7901" y="1114426"/>
          <a:ext cx="229154" cy="22411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225572</xdr:colOff>
      <xdr:row>9</xdr:row>
      <xdr:rowOff>225572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1876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1357374</xdr:colOff>
      <xdr:row>10</xdr:row>
      <xdr:rowOff>11205</xdr:rowOff>
    </xdr:from>
    <xdr:to>
      <xdr:col>4</xdr:col>
      <xdr:colOff>1582946</xdr:colOff>
      <xdr:row>10</xdr:row>
      <xdr:rowOff>236777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51417" y="2272357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225572</xdr:colOff>
      <xdr:row>11</xdr:row>
      <xdr:rowOff>225572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2638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225572</xdr:colOff>
      <xdr:row>12</xdr:row>
      <xdr:rowOff>225572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3019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2330823</xdr:colOff>
      <xdr:row>13</xdr:row>
      <xdr:rowOff>369794</xdr:rowOff>
    </xdr:from>
    <xdr:to>
      <xdr:col>5</xdr:col>
      <xdr:colOff>180748</xdr:colOff>
      <xdr:row>14</xdr:row>
      <xdr:rowOff>214366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16998" y="3770219"/>
          <a:ext cx="221650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225572</xdr:colOff>
      <xdr:row>15</xdr:row>
      <xdr:rowOff>225572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4162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225572</xdr:colOff>
      <xdr:row>16</xdr:row>
      <xdr:rowOff>225572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4543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1714500</xdr:colOff>
      <xdr:row>17</xdr:row>
      <xdr:rowOff>11206</xdr:rowOff>
    </xdr:from>
    <xdr:to>
      <xdr:col>4</xdr:col>
      <xdr:colOff>1940072</xdr:colOff>
      <xdr:row>17</xdr:row>
      <xdr:rowOff>236778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00675" y="4935631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1983441</xdr:colOff>
      <xdr:row>18</xdr:row>
      <xdr:rowOff>369794</xdr:rowOff>
    </xdr:from>
    <xdr:to>
      <xdr:col>4</xdr:col>
      <xdr:colOff>2209013</xdr:colOff>
      <xdr:row>19</xdr:row>
      <xdr:rowOff>214366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69616" y="5675219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225572</xdr:colOff>
      <xdr:row>20</xdr:row>
      <xdr:rowOff>225572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6067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2286000</xdr:colOff>
      <xdr:row>21</xdr:row>
      <xdr:rowOff>11206</xdr:rowOff>
    </xdr:from>
    <xdr:to>
      <xdr:col>5</xdr:col>
      <xdr:colOff>135925</xdr:colOff>
      <xdr:row>21</xdr:row>
      <xdr:rowOff>236778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72175" y="6459631"/>
          <a:ext cx="221650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225572</xdr:colOff>
      <xdr:row>22</xdr:row>
      <xdr:rowOff>225572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6829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225572</xdr:colOff>
      <xdr:row>24</xdr:row>
      <xdr:rowOff>225572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7591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225572</xdr:colOff>
      <xdr:row>25</xdr:row>
      <xdr:rowOff>225572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7972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225572</xdr:colOff>
      <xdr:row>26</xdr:row>
      <xdr:rowOff>225572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8353425"/>
          <a:ext cx="22557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225572</xdr:colOff>
      <xdr:row>29</xdr:row>
      <xdr:rowOff>225572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9496425"/>
          <a:ext cx="225572" cy="225572"/>
        </a:xfrm>
        <a:prstGeom prst="rect">
          <a:avLst/>
        </a:prstGeom>
      </xdr:spPr>
    </xdr:pic>
    <xdr:clientData/>
  </xdr:twoCellAnchor>
  <xdr:twoCellAnchor>
    <xdr:from>
      <xdr:col>2</xdr:col>
      <xdr:colOff>134470</xdr:colOff>
      <xdr:row>17</xdr:row>
      <xdr:rowOff>33618</xdr:rowOff>
    </xdr:from>
    <xdr:to>
      <xdr:col>3</xdr:col>
      <xdr:colOff>56028</xdr:colOff>
      <xdr:row>17</xdr:row>
      <xdr:rowOff>369796</xdr:rowOff>
    </xdr:to>
    <xdr:sp macro="" textlink="">
      <xdr:nvSpPr>
        <xdr:cNvPr id="55" name="文字方塊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572620" y="4958043"/>
          <a:ext cx="1035983" cy="336178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客家</a:t>
          </a:r>
          <a:endParaRPr kumimoji="0" lang="en-US" altLang="zh-TW" sz="16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</xdr:txBody>
    </xdr:sp>
    <xdr:clientData/>
  </xdr:twoCellAnchor>
  <xdr:twoCellAnchor>
    <xdr:from>
      <xdr:col>5</xdr:col>
      <xdr:colOff>1736912</xdr:colOff>
      <xdr:row>15</xdr:row>
      <xdr:rowOff>358589</xdr:rowOff>
    </xdr:from>
    <xdr:to>
      <xdr:col>6</xdr:col>
      <xdr:colOff>648819</xdr:colOff>
      <xdr:row>16</xdr:row>
      <xdr:rowOff>280148</xdr:rowOff>
    </xdr:to>
    <xdr:sp macro="" textlink="">
      <xdr:nvSpPr>
        <xdr:cNvPr id="56" name="文字方塊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7794812" y="4521014"/>
          <a:ext cx="750232" cy="302559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日本</a:t>
          </a:r>
        </a:p>
      </xdr:txBody>
    </xdr:sp>
    <xdr:clientData/>
  </xdr:twoCellAnchor>
  <xdr:twoCellAnchor>
    <xdr:from>
      <xdr:col>5</xdr:col>
      <xdr:colOff>1467971</xdr:colOff>
      <xdr:row>18</xdr:row>
      <xdr:rowOff>324971</xdr:rowOff>
    </xdr:from>
    <xdr:to>
      <xdr:col>6</xdr:col>
      <xdr:colOff>554691</xdr:colOff>
      <xdr:row>19</xdr:row>
      <xdr:rowOff>235324</xdr:rowOff>
    </xdr:to>
    <xdr:sp macro="" textlink="">
      <xdr:nvSpPr>
        <xdr:cNvPr id="57" name="文字方塊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7525871" y="5630396"/>
          <a:ext cx="925045" cy="291353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韓國</a:t>
          </a:r>
        </a:p>
      </xdr:txBody>
    </xdr:sp>
    <xdr:clientData/>
  </xdr:twoCellAnchor>
  <xdr:twoCellAnchor>
    <xdr:from>
      <xdr:col>5</xdr:col>
      <xdr:colOff>1568824</xdr:colOff>
      <xdr:row>17</xdr:row>
      <xdr:rowOff>336177</xdr:rowOff>
    </xdr:from>
    <xdr:to>
      <xdr:col>6</xdr:col>
      <xdr:colOff>666752</xdr:colOff>
      <xdr:row>18</xdr:row>
      <xdr:rowOff>246530</xdr:rowOff>
    </xdr:to>
    <xdr:sp macro="" textlink="">
      <xdr:nvSpPr>
        <xdr:cNvPr id="58" name="文字方塊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7626724" y="5260602"/>
          <a:ext cx="936253" cy="291353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 panose="02020500000000000000" pitchFamily="18" charset="-120"/>
              <a:cs typeface="+mn-cs"/>
            </a:rPr>
            <a:t>西班</a:t>
          </a:r>
          <a:r>
            <a:rPr kumimoji="0" lang="zh-TW" altLang="en-US" sz="16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 panose="02020500000000000000" pitchFamily="18" charset="-120"/>
              <a:cs typeface="+mn-cs"/>
            </a:rPr>
            <a:t>牙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1030941</xdr:colOff>
      <xdr:row>20</xdr:row>
      <xdr:rowOff>336177</xdr:rowOff>
    </xdr:to>
    <xdr:sp macro="" textlink="">
      <xdr:nvSpPr>
        <xdr:cNvPr id="59" name="文字方塊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3686175" y="6067425"/>
          <a:ext cx="1030941" cy="336177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6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新細明體"/>
              <a:cs typeface="+mn-cs"/>
            </a:rPr>
            <a:t>臺灣</a:t>
          </a:r>
          <a:endParaRPr kumimoji="0" lang="en-US" altLang="zh-TW" sz="16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 panose="020F0502020204030204"/>
            <a:ea typeface="新細明體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view="pageBreakPreview" topLeftCell="A31" zoomScale="85" zoomScaleNormal="85" zoomScaleSheetLayoutView="85" workbookViewId="0">
      <selection activeCell="E19" sqref="E19"/>
    </sheetView>
  </sheetViews>
  <sheetFormatPr defaultRowHeight="15.6"/>
  <cols>
    <col min="1" max="1" width="3" style="2" customWidth="1"/>
    <col min="2" max="2" width="2.77734375" style="2" customWidth="1"/>
    <col min="3" max="3" width="14.6640625" style="26" customWidth="1"/>
    <col min="4" max="4" width="28" style="27" customWidth="1"/>
    <col min="5" max="5" width="31.109375" style="2" customWidth="1"/>
    <col min="6" max="6" width="24.109375" style="2" customWidth="1"/>
    <col min="7" max="7" width="30.77734375" style="2" customWidth="1"/>
    <col min="8" max="12" width="3.6640625" style="28" customWidth="1"/>
    <col min="13" max="13" width="5.6640625" style="29" customWidth="1"/>
    <col min="14" max="14" width="3.6640625" style="28" customWidth="1"/>
    <col min="15" max="15" width="9" style="1"/>
    <col min="16" max="256" width="9" style="2"/>
    <col min="257" max="257" width="3" style="2" customWidth="1"/>
    <col min="258" max="258" width="2.77734375" style="2" customWidth="1"/>
    <col min="259" max="259" width="14.6640625" style="2" customWidth="1"/>
    <col min="260" max="260" width="28" style="2" customWidth="1"/>
    <col min="261" max="261" width="31.109375" style="2" customWidth="1"/>
    <col min="262" max="262" width="24.109375" style="2" customWidth="1"/>
    <col min="263" max="263" width="30.77734375" style="2" customWidth="1"/>
    <col min="264" max="268" width="3.6640625" style="2" customWidth="1"/>
    <col min="269" max="269" width="5.6640625" style="2" customWidth="1"/>
    <col min="270" max="270" width="3.6640625" style="2" customWidth="1"/>
    <col min="271" max="512" width="9" style="2"/>
    <col min="513" max="513" width="3" style="2" customWidth="1"/>
    <col min="514" max="514" width="2.77734375" style="2" customWidth="1"/>
    <col min="515" max="515" width="14.6640625" style="2" customWidth="1"/>
    <col min="516" max="516" width="28" style="2" customWidth="1"/>
    <col min="517" max="517" width="31.109375" style="2" customWidth="1"/>
    <col min="518" max="518" width="24.109375" style="2" customWidth="1"/>
    <col min="519" max="519" width="30.77734375" style="2" customWidth="1"/>
    <col min="520" max="524" width="3.6640625" style="2" customWidth="1"/>
    <col min="525" max="525" width="5.6640625" style="2" customWidth="1"/>
    <col min="526" max="526" width="3.6640625" style="2" customWidth="1"/>
    <col min="527" max="768" width="9" style="2"/>
    <col min="769" max="769" width="3" style="2" customWidth="1"/>
    <col min="770" max="770" width="2.77734375" style="2" customWidth="1"/>
    <col min="771" max="771" width="14.6640625" style="2" customWidth="1"/>
    <col min="772" max="772" width="28" style="2" customWidth="1"/>
    <col min="773" max="773" width="31.109375" style="2" customWidth="1"/>
    <col min="774" max="774" width="24.109375" style="2" customWidth="1"/>
    <col min="775" max="775" width="30.77734375" style="2" customWidth="1"/>
    <col min="776" max="780" width="3.6640625" style="2" customWidth="1"/>
    <col min="781" max="781" width="5.6640625" style="2" customWidth="1"/>
    <col min="782" max="782" width="3.6640625" style="2" customWidth="1"/>
    <col min="783" max="1024" width="9" style="2"/>
    <col min="1025" max="1025" width="3" style="2" customWidth="1"/>
    <col min="1026" max="1026" width="2.77734375" style="2" customWidth="1"/>
    <col min="1027" max="1027" width="14.6640625" style="2" customWidth="1"/>
    <col min="1028" max="1028" width="28" style="2" customWidth="1"/>
    <col min="1029" max="1029" width="31.109375" style="2" customWidth="1"/>
    <col min="1030" max="1030" width="24.109375" style="2" customWidth="1"/>
    <col min="1031" max="1031" width="30.77734375" style="2" customWidth="1"/>
    <col min="1032" max="1036" width="3.6640625" style="2" customWidth="1"/>
    <col min="1037" max="1037" width="5.6640625" style="2" customWidth="1"/>
    <col min="1038" max="1038" width="3.6640625" style="2" customWidth="1"/>
    <col min="1039" max="1280" width="9" style="2"/>
    <col min="1281" max="1281" width="3" style="2" customWidth="1"/>
    <col min="1282" max="1282" width="2.77734375" style="2" customWidth="1"/>
    <col min="1283" max="1283" width="14.6640625" style="2" customWidth="1"/>
    <col min="1284" max="1284" width="28" style="2" customWidth="1"/>
    <col min="1285" max="1285" width="31.109375" style="2" customWidth="1"/>
    <col min="1286" max="1286" width="24.109375" style="2" customWidth="1"/>
    <col min="1287" max="1287" width="30.77734375" style="2" customWidth="1"/>
    <col min="1288" max="1292" width="3.6640625" style="2" customWidth="1"/>
    <col min="1293" max="1293" width="5.6640625" style="2" customWidth="1"/>
    <col min="1294" max="1294" width="3.6640625" style="2" customWidth="1"/>
    <col min="1295" max="1536" width="9" style="2"/>
    <col min="1537" max="1537" width="3" style="2" customWidth="1"/>
    <col min="1538" max="1538" width="2.77734375" style="2" customWidth="1"/>
    <col min="1539" max="1539" width="14.6640625" style="2" customWidth="1"/>
    <col min="1540" max="1540" width="28" style="2" customWidth="1"/>
    <col min="1541" max="1541" width="31.109375" style="2" customWidth="1"/>
    <col min="1542" max="1542" width="24.109375" style="2" customWidth="1"/>
    <col min="1543" max="1543" width="30.77734375" style="2" customWidth="1"/>
    <col min="1544" max="1548" width="3.6640625" style="2" customWidth="1"/>
    <col min="1549" max="1549" width="5.6640625" style="2" customWidth="1"/>
    <col min="1550" max="1550" width="3.6640625" style="2" customWidth="1"/>
    <col min="1551" max="1792" width="9" style="2"/>
    <col min="1793" max="1793" width="3" style="2" customWidth="1"/>
    <col min="1794" max="1794" width="2.77734375" style="2" customWidth="1"/>
    <col min="1795" max="1795" width="14.6640625" style="2" customWidth="1"/>
    <col min="1796" max="1796" width="28" style="2" customWidth="1"/>
    <col min="1797" max="1797" width="31.109375" style="2" customWidth="1"/>
    <col min="1798" max="1798" width="24.109375" style="2" customWidth="1"/>
    <col min="1799" max="1799" width="30.77734375" style="2" customWidth="1"/>
    <col min="1800" max="1804" width="3.6640625" style="2" customWidth="1"/>
    <col min="1805" max="1805" width="5.6640625" style="2" customWidth="1"/>
    <col min="1806" max="1806" width="3.6640625" style="2" customWidth="1"/>
    <col min="1807" max="2048" width="9" style="2"/>
    <col min="2049" max="2049" width="3" style="2" customWidth="1"/>
    <col min="2050" max="2050" width="2.77734375" style="2" customWidth="1"/>
    <col min="2051" max="2051" width="14.6640625" style="2" customWidth="1"/>
    <col min="2052" max="2052" width="28" style="2" customWidth="1"/>
    <col min="2053" max="2053" width="31.109375" style="2" customWidth="1"/>
    <col min="2054" max="2054" width="24.109375" style="2" customWidth="1"/>
    <col min="2055" max="2055" width="30.77734375" style="2" customWidth="1"/>
    <col min="2056" max="2060" width="3.6640625" style="2" customWidth="1"/>
    <col min="2061" max="2061" width="5.6640625" style="2" customWidth="1"/>
    <col min="2062" max="2062" width="3.6640625" style="2" customWidth="1"/>
    <col min="2063" max="2304" width="9" style="2"/>
    <col min="2305" max="2305" width="3" style="2" customWidth="1"/>
    <col min="2306" max="2306" width="2.77734375" style="2" customWidth="1"/>
    <col min="2307" max="2307" width="14.6640625" style="2" customWidth="1"/>
    <col min="2308" max="2308" width="28" style="2" customWidth="1"/>
    <col min="2309" max="2309" width="31.109375" style="2" customWidth="1"/>
    <col min="2310" max="2310" width="24.109375" style="2" customWidth="1"/>
    <col min="2311" max="2311" width="30.77734375" style="2" customWidth="1"/>
    <col min="2312" max="2316" width="3.6640625" style="2" customWidth="1"/>
    <col min="2317" max="2317" width="5.6640625" style="2" customWidth="1"/>
    <col min="2318" max="2318" width="3.6640625" style="2" customWidth="1"/>
    <col min="2319" max="2560" width="9" style="2"/>
    <col min="2561" max="2561" width="3" style="2" customWidth="1"/>
    <col min="2562" max="2562" width="2.77734375" style="2" customWidth="1"/>
    <col min="2563" max="2563" width="14.6640625" style="2" customWidth="1"/>
    <col min="2564" max="2564" width="28" style="2" customWidth="1"/>
    <col min="2565" max="2565" width="31.109375" style="2" customWidth="1"/>
    <col min="2566" max="2566" width="24.109375" style="2" customWidth="1"/>
    <col min="2567" max="2567" width="30.77734375" style="2" customWidth="1"/>
    <col min="2568" max="2572" width="3.6640625" style="2" customWidth="1"/>
    <col min="2573" max="2573" width="5.6640625" style="2" customWidth="1"/>
    <col min="2574" max="2574" width="3.6640625" style="2" customWidth="1"/>
    <col min="2575" max="2816" width="9" style="2"/>
    <col min="2817" max="2817" width="3" style="2" customWidth="1"/>
    <col min="2818" max="2818" width="2.77734375" style="2" customWidth="1"/>
    <col min="2819" max="2819" width="14.6640625" style="2" customWidth="1"/>
    <col min="2820" max="2820" width="28" style="2" customWidth="1"/>
    <col min="2821" max="2821" width="31.109375" style="2" customWidth="1"/>
    <col min="2822" max="2822" width="24.109375" style="2" customWidth="1"/>
    <col min="2823" max="2823" width="30.77734375" style="2" customWidth="1"/>
    <col min="2824" max="2828" width="3.6640625" style="2" customWidth="1"/>
    <col min="2829" max="2829" width="5.6640625" style="2" customWidth="1"/>
    <col min="2830" max="2830" width="3.6640625" style="2" customWidth="1"/>
    <col min="2831" max="3072" width="9" style="2"/>
    <col min="3073" max="3073" width="3" style="2" customWidth="1"/>
    <col min="3074" max="3074" width="2.77734375" style="2" customWidth="1"/>
    <col min="3075" max="3075" width="14.6640625" style="2" customWidth="1"/>
    <col min="3076" max="3076" width="28" style="2" customWidth="1"/>
    <col min="3077" max="3077" width="31.109375" style="2" customWidth="1"/>
    <col min="3078" max="3078" width="24.109375" style="2" customWidth="1"/>
    <col min="3079" max="3079" width="30.77734375" style="2" customWidth="1"/>
    <col min="3080" max="3084" width="3.6640625" style="2" customWidth="1"/>
    <col min="3085" max="3085" width="5.6640625" style="2" customWidth="1"/>
    <col min="3086" max="3086" width="3.6640625" style="2" customWidth="1"/>
    <col min="3087" max="3328" width="9" style="2"/>
    <col min="3329" max="3329" width="3" style="2" customWidth="1"/>
    <col min="3330" max="3330" width="2.77734375" style="2" customWidth="1"/>
    <col min="3331" max="3331" width="14.6640625" style="2" customWidth="1"/>
    <col min="3332" max="3332" width="28" style="2" customWidth="1"/>
    <col min="3333" max="3333" width="31.109375" style="2" customWidth="1"/>
    <col min="3334" max="3334" width="24.109375" style="2" customWidth="1"/>
    <col min="3335" max="3335" width="30.77734375" style="2" customWidth="1"/>
    <col min="3336" max="3340" width="3.6640625" style="2" customWidth="1"/>
    <col min="3341" max="3341" width="5.6640625" style="2" customWidth="1"/>
    <col min="3342" max="3342" width="3.6640625" style="2" customWidth="1"/>
    <col min="3343" max="3584" width="9" style="2"/>
    <col min="3585" max="3585" width="3" style="2" customWidth="1"/>
    <col min="3586" max="3586" width="2.77734375" style="2" customWidth="1"/>
    <col min="3587" max="3587" width="14.6640625" style="2" customWidth="1"/>
    <col min="3588" max="3588" width="28" style="2" customWidth="1"/>
    <col min="3589" max="3589" width="31.109375" style="2" customWidth="1"/>
    <col min="3590" max="3590" width="24.109375" style="2" customWidth="1"/>
    <col min="3591" max="3591" width="30.77734375" style="2" customWidth="1"/>
    <col min="3592" max="3596" width="3.6640625" style="2" customWidth="1"/>
    <col min="3597" max="3597" width="5.6640625" style="2" customWidth="1"/>
    <col min="3598" max="3598" width="3.6640625" style="2" customWidth="1"/>
    <col min="3599" max="3840" width="9" style="2"/>
    <col min="3841" max="3841" width="3" style="2" customWidth="1"/>
    <col min="3842" max="3842" width="2.77734375" style="2" customWidth="1"/>
    <col min="3843" max="3843" width="14.6640625" style="2" customWidth="1"/>
    <col min="3844" max="3844" width="28" style="2" customWidth="1"/>
    <col min="3845" max="3845" width="31.109375" style="2" customWidth="1"/>
    <col min="3846" max="3846" width="24.109375" style="2" customWidth="1"/>
    <col min="3847" max="3847" width="30.77734375" style="2" customWidth="1"/>
    <col min="3848" max="3852" width="3.6640625" style="2" customWidth="1"/>
    <col min="3853" max="3853" width="5.6640625" style="2" customWidth="1"/>
    <col min="3854" max="3854" width="3.6640625" style="2" customWidth="1"/>
    <col min="3855" max="4096" width="9" style="2"/>
    <col min="4097" max="4097" width="3" style="2" customWidth="1"/>
    <col min="4098" max="4098" width="2.77734375" style="2" customWidth="1"/>
    <col min="4099" max="4099" width="14.6640625" style="2" customWidth="1"/>
    <col min="4100" max="4100" width="28" style="2" customWidth="1"/>
    <col min="4101" max="4101" width="31.109375" style="2" customWidth="1"/>
    <col min="4102" max="4102" width="24.109375" style="2" customWidth="1"/>
    <col min="4103" max="4103" width="30.77734375" style="2" customWidth="1"/>
    <col min="4104" max="4108" width="3.6640625" style="2" customWidth="1"/>
    <col min="4109" max="4109" width="5.6640625" style="2" customWidth="1"/>
    <col min="4110" max="4110" width="3.6640625" style="2" customWidth="1"/>
    <col min="4111" max="4352" width="9" style="2"/>
    <col min="4353" max="4353" width="3" style="2" customWidth="1"/>
    <col min="4354" max="4354" width="2.77734375" style="2" customWidth="1"/>
    <col min="4355" max="4355" width="14.6640625" style="2" customWidth="1"/>
    <col min="4356" max="4356" width="28" style="2" customWidth="1"/>
    <col min="4357" max="4357" width="31.109375" style="2" customWidth="1"/>
    <col min="4358" max="4358" width="24.109375" style="2" customWidth="1"/>
    <col min="4359" max="4359" width="30.77734375" style="2" customWidth="1"/>
    <col min="4360" max="4364" width="3.6640625" style="2" customWidth="1"/>
    <col min="4365" max="4365" width="5.6640625" style="2" customWidth="1"/>
    <col min="4366" max="4366" width="3.6640625" style="2" customWidth="1"/>
    <col min="4367" max="4608" width="9" style="2"/>
    <col min="4609" max="4609" width="3" style="2" customWidth="1"/>
    <col min="4610" max="4610" width="2.77734375" style="2" customWidth="1"/>
    <col min="4611" max="4611" width="14.6640625" style="2" customWidth="1"/>
    <col min="4612" max="4612" width="28" style="2" customWidth="1"/>
    <col min="4613" max="4613" width="31.109375" style="2" customWidth="1"/>
    <col min="4614" max="4614" width="24.109375" style="2" customWidth="1"/>
    <col min="4615" max="4615" width="30.77734375" style="2" customWidth="1"/>
    <col min="4616" max="4620" width="3.6640625" style="2" customWidth="1"/>
    <col min="4621" max="4621" width="5.6640625" style="2" customWidth="1"/>
    <col min="4622" max="4622" width="3.6640625" style="2" customWidth="1"/>
    <col min="4623" max="4864" width="9" style="2"/>
    <col min="4865" max="4865" width="3" style="2" customWidth="1"/>
    <col min="4866" max="4866" width="2.77734375" style="2" customWidth="1"/>
    <col min="4867" max="4867" width="14.6640625" style="2" customWidth="1"/>
    <col min="4868" max="4868" width="28" style="2" customWidth="1"/>
    <col min="4869" max="4869" width="31.109375" style="2" customWidth="1"/>
    <col min="4870" max="4870" width="24.109375" style="2" customWidth="1"/>
    <col min="4871" max="4871" width="30.77734375" style="2" customWidth="1"/>
    <col min="4872" max="4876" width="3.6640625" style="2" customWidth="1"/>
    <col min="4877" max="4877" width="5.6640625" style="2" customWidth="1"/>
    <col min="4878" max="4878" width="3.6640625" style="2" customWidth="1"/>
    <col min="4879" max="5120" width="9" style="2"/>
    <col min="5121" max="5121" width="3" style="2" customWidth="1"/>
    <col min="5122" max="5122" width="2.77734375" style="2" customWidth="1"/>
    <col min="5123" max="5123" width="14.6640625" style="2" customWidth="1"/>
    <col min="5124" max="5124" width="28" style="2" customWidth="1"/>
    <col min="5125" max="5125" width="31.109375" style="2" customWidth="1"/>
    <col min="5126" max="5126" width="24.109375" style="2" customWidth="1"/>
    <col min="5127" max="5127" width="30.77734375" style="2" customWidth="1"/>
    <col min="5128" max="5132" width="3.6640625" style="2" customWidth="1"/>
    <col min="5133" max="5133" width="5.6640625" style="2" customWidth="1"/>
    <col min="5134" max="5134" width="3.6640625" style="2" customWidth="1"/>
    <col min="5135" max="5376" width="9" style="2"/>
    <col min="5377" max="5377" width="3" style="2" customWidth="1"/>
    <col min="5378" max="5378" width="2.77734375" style="2" customWidth="1"/>
    <col min="5379" max="5379" width="14.6640625" style="2" customWidth="1"/>
    <col min="5380" max="5380" width="28" style="2" customWidth="1"/>
    <col min="5381" max="5381" width="31.109375" style="2" customWidth="1"/>
    <col min="5382" max="5382" width="24.109375" style="2" customWidth="1"/>
    <col min="5383" max="5383" width="30.77734375" style="2" customWidth="1"/>
    <col min="5384" max="5388" width="3.6640625" style="2" customWidth="1"/>
    <col min="5389" max="5389" width="5.6640625" style="2" customWidth="1"/>
    <col min="5390" max="5390" width="3.6640625" style="2" customWidth="1"/>
    <col min="5391" max="5632" width="9" style="2"/>
    <col min="5633" max="5633" width="3" style="2" customWidth="1"/>
    <col min="5634" max="5634" width="2.77734375" style="2" customWidth="1"/>
    <col min="5635" max="5635" width="14.6640625" style="2" customWidth="1"/>
    <col min="5636" max="5636" width="28" style="2" customWidth="1"/>
    <col min="5637" max="5637" width="31.109375" style="2" customWidth="1"/>
    <col min="5638" max="5638" width="24.109375" style="2" customWidth="1"/>
    <col min="5639" max="5639" width="30.77734375" style="2" customWidth="1"/>
    <col min="5640" max="5644" width="3.6640625" style="2" customWidth="1"/>
    <col min="5645" max="5645" width="5.6640625" style="2" customWidth="1"/>
    <col min="5646" max="5646" width="3.6640625" style="2" customWidth="1"/>
    <col min="5647" max="5888" width="9" style="2"/>
    <col min="5889" max="5889" width="3" style="2" customWidth="1"/>
    <col min="5890" max="5890" width="2.77734375" style="2" customWidth="1"/>
    <col min="5891" max="5891" width="14.6640625" style="2" customWidth="1"/>
    <col min="5892" max="5892" width="28" style="2" customWidth="1"/>
    <col min="5893" max="5893" width="31.109375" style="2" customWidth="1"/>
    <col min="5894" max="5894" width="24.109375" style="2" customWidth="1"/>
    <col min="5895" max="5895" width="30.77734375" style="2" customWidth="1"/>
    <col min="5896" max="5900" width="3.6640625" style="2" customWidth="1"/>
    <col min="5901" max="5901" width="5.6640625" style="2" customWidth="1"/>
    <col min="5902" max="5902" width="3.6640625" style="2" customWidth="1"/>
    <col min="5903" max="6144" width="9" style="2"/>
    <col min="6145" max="6145" width="3" style="2" customWidth="1"/>
    <col min="6146" max="6146" width="2.77734375" style="2" customWidth="1"/>
    <col min="6147" max="6147" width="14.6640625" style="2" customWidth="1"/>
    <col min="6148" max="6148" width="28" style="2" customWidth="1"/>
    <col min="6149" max="6149" width="31.109375" style="2" customWidth="1"/>
    <col min="6150" max="6150" width="24.109375" style="2" customWidth="1"/>
    <col min="6151" max="6151" width="30.77734375" style="2" customWidth="1"/>
    <col min="6152" max="6156" width="3.6640625" style="2" customWidth="1"/>
    <col min="6157" max="6157" width="5.6640625" style="2" customWidth="1"/>
    <col min="6158" max="6158" width="3.6640625" style="2" customWidth="1"/>
    <col min="6159" max="6400" width="9" style="2"/>
    <col min="6401" max="6401" width="3" style="2" customWidth="1"/>
    <col min="6402" max="6402" width="2.77734375" style="2" customWidth="1"/>
    <col min="6403" max="6403" width="14.6640625" style="2" customWidth="1"/>
    <col min="6404" max="6404" width="28" style="2" customWidth="1"/>
    <col min="6405" max="6405" width="31.109375" style="2" customWidth="1"/>
    <col min="6406" max="6406" width="24.109375" style="2" customWidth="1"/>
    <col min="6407" max="6407" width="30.77734375" style="2" customWidth="1"/>
    <col min="6408" max="6412" width="3.6640625" style="2" customWidth="1"/>
    <col min="6413" max="6413" width="5.6640625" style="2" customWidth="1"/>
    <col min="6414" max="6414" width="3.6640625" style="2" customWidth="1"/>
    <col min="6415" max="6656" width="9" style="2"/>
    <col min="6657" max="6657" width="3" style="2" customWidth="1"/>
    <col min="6658" max="6658" width="2.77734375" style="2" customWidth="1"/>
    <col min="6659" max="6659" width="14.6640625" style="2" customWidth="1"/>
    <col min="6660" max="6660" width="28" style="2" customWidth="1"/>
    <col min="6661" max="6661" width="31.109375" style="2" customWidth="1"/>
    <col min="6662" max="6662" width="24.109375" style="2" customWidth="1"/>
    <col min="6663" max="6663" width="30.77734375" style="2" customWidth="1"/>
    <col min="6664" max="6668" width="3.6640625" style="2" customWidth="1"/>
    <col min="6669" max="6669" width="5.6640625" style="2" customWidth="1"/>
    <col min="6670" max="6670" width="3.6640625" style="2" customWidth="1"/>
    <col min="6671" max="6912" width="9" style="2"/>
    <col min="6913" max="6913" width="3" style="2" customWidth="1"/>
    <col min="6914" max="6914" width="2.77734375" style="2" customWidth="1"/>
    <col min="6915" max="6915" width="14.6640625" style="2" customWidth="1"/>
    <col min="6916" max="6916" width="28" style="2" customWidth="1"/>
    <col min="6917" max="6917" width="31.109375" style="2" customWidth="1"/>
    <col min="6918" max="6918" width="24.109375" style="2" customWidth="1"/>
    <col min="6919" max="6919" width="30.77734375" style="2" customWidth="1"/>
    <col min="6920" max="6924" width="3.6640625" style="2" customWidth="1"/>
    <col min="6925" max="6925" width="5.6640625" style="2" customWidth="1"/>
    <col min="6926" max="6926" width="3.6640625" style="2" customWidth="1"/>
    <col min="6927" max="7168" width="9" style="2"/>
    <col min="7169" max="7169" width="3" style="2" customWidth="1"/>
    <col min="7170" max="7170" width="2.77734375" style="2" customWidth="1"/>
    <col min="7171" max="7171" width="14.6640625" style="2" customWidth="1"/>
    <col min="7172" max="7172" width="28" style="2" customWidth="1"/>
    <col min="7173" max="7173" width="31.109375" style="2" customWidth="1"/>
    <col min="7174" max="7174" width="24.109375" style="2" customWidth="1"/>
    <col min="7175" max="7175" width="30.77734375" style="2" customWidth="1"/>
    <col min="7176" max="7180" width="3.6640625" style="2" customWidth="1"/>
    <col min="7181" max="7181" width="5.6640625" style="2" customWidth="1"/>
    <col min="7182" max="7182" width="3.6640625" style="2" customWidth="1"/>
    <col min="7183" max="7424" width="9" style="2"/>
    <col min="7425" max="7425" width="3" style="2" customWidth="1"/>
    <col min="7426" max="7426" width="2.77734375" style="2" customWidth="1"/>
    <col min="7427" max="7427" width="14.6640625" style="2" customWidth="1"/>
    <col min="7428" max="7428" width="28" style="2" customWidth="1"/>
    <col min="7429" max="7429" width="31.109375" style="2" customWidth="1"/>
    <col min="7430" max="7430" width="24.109375" style="2" customWidth="1"/>
    <col min="7431" max="7431" width="30.77734375" style="2" customWidth="1"/>
    <col min="7432" max="7436" width="3.6640625" style="2" customWidth="1"/>
    <col min="7437" max="7437" width="5.6640625" style="2" customWidth="1"/>
    <col min="7438" max="7438" width="3.6640625" style="2" customWidth="1"/>
    <col min="7439" max="7680" width="9" style="2"/>
    <col min="7681" max="7681" width="3" style="2" customWidth="1"/>
    <col min="7682" max="7682" width="2.77734375" style="2" customWidth="1"/>
    <col min="7683" max="7683" width="14.6640625" style="2" customWidth="1"/>
    <col min="7684" max="7684" width="28" style="2" customWidth="1"/>
    <col min="7685" max="7685" width="31.109375" style="2" customWidth="1"/>
    <col min="7686" max="7686" width="24.109375" style="2" customWidth="1"/>
    <col min="7687" max="7687" width="30.77734375" style="2" customWidth="1"/>
    <col min="7688" max="7692" width="3.6640625" style="2" customWidth="1"/>
    <col min="7693" max="7693" width="5.6640625" style="2" customWidth="1"/>
    <col min="7694" max="7694" width="3.6640625" style="2" customWidth="1"/>
    <col min="7695" max="7936" width="9" style="2"/>
    <col min="7937" max="7937" width="3" style="2" customWidth="1"/>
    <col min="7938" max="7938" width="2.77734375" style="2" customWidth="1"/>
    <col min="7939" max="7939" width="14.6640625" style="2" customWidth="1"/>
    <col min="7940" max="7940" width="28" style="2" customWidth="1"/>
    <col min="7941" max="7941" width="31.109375" style="2" customWidth="1"/>
    <col min="7942" max="7942" width="24.109375" style="2" customWidth="1"/>
    <col min="7943" max="7943" width="30.77734375" style="2" customWidth="1"/>
    <col min="7944" max="7948" width="3.6640625" style="2" customWidth="1"/>
    <col min="7949" max="7949" width="5.6640625" style="2" customWidth="1"/>
    <col min="7950" max="7950" width="3.6640625" style="2" customWidth="1"/>
    <col min="7951" max="8192" width="9" style="2"/>
    <col min="8193" max="8193" width="3" style="2" customWidth="1"/>
    <col min="8194" max="8194" width="2.77734375" style="2" customWidth="1"/>
    <col min="8195" max="8195" width="14.6640625" style="2" customWidth="1"/>
    <col min="8196" max="8196" width="28" style="2" customWidth="1"/>
    <col min="8197" max="8197" width="31.109375" style="2" customWidth="1"/>
    <col min="8198" max="8198" width="24.109375" style="2" customWidth="1"/>
    <col min="8199" max="8199" width="30.77734375" style="2" customWidth="1"/>
    <col min="8200" max="8204" width="3.6640625" style="2" customWidth="1"/>
    <col min="8205" max="8205" width="5.6640625" style="2" customWidth="1"/>
    <col min="8206" max="8206" width="3.6640625" style="2" customWidth="1"/>
    <col min="8207" max="8448" width="9" style="2"/>
    <col min="8449" max="8449" width="3" style="2" customWidth="1"/>
    <col min="8450" max="8450" width="2.77734375" style="2" customWidth="1"/>
    <col min="8451" max="8451" width="14.6640625" style="2" customWidth="1"/>
    <col min="8452" max="8452" width="28" style="2" customWidth="1"/>
    <col min="8453" max="8453" width="31.109375" style="2" customWidth="1"/>
    <col min="8454" max="8454" width="24.109375" style="2" customWidth="1"/>
    <col min="8455" max="8455" width="30.77734375" style="2" customWidth="1"/>
    <col min="8456" max="8460" width="3.6640625" style="2" customWidth="1"/>
    <col min="8461" max="8461" width="5.6640625" style="2" customWidth="1"/>
    <col min="8462" max="8462" width="3.6640625" style="2" customWidth="1"/>
    <col min="8463" max="8704" width="9" style="2"/>
    <col min="8705" max="8705" width="3" style="2" customWidth="1"/>
    <col min="8706" max="8706" width="2.77734375" style="2" customWidth="1"/>
    <col min="8707" max="8707" width="14.6640625" style="2" customWidth="1"/>
    <col min="8708" max="8708" width="28" style="2" customWidth="1"/>
    <col min="8709" max="8709" width="31.109375" style="2" customWidth="1"/>
    <col min="8710" max="8710" width="24.109375" style="2" customWidth="1"/>
    <col min="8711" max="8711" width="30.77734375" style="2" customWidth="1"/>
    <col min="8712" max="8716" width="3.6640625" style="2" customWidth="1"/>
    <col min="8717" max="8717" width="5.6640625" style="2" customWidth="1"/>
    <col min="8718" max="8718" width="3.6640625" style="2" customWidth="1"/>
    <col min="8719" max="8960" width="9" style="2"/>
    <col min="8961" max="8961" width="3" style="2" customWidth="1"/>
    <col min="8962" max="8962" width="2.77734375" style="2" customWidth="1"/>
    <col min="8963" max="8963" width="14.6640625" style="2" customWidth="1"/>
    <col min="8964" max="8964" width="28" style="2" customWidth="1"/>
    <col min="8965" max="8965" width="31.109375" style="2" customWidth="1"/>
    <col min="8966" max="8966" width="24.109375" style="2" customWidth="1"/>
    <col min="8967" max="8967" width="30.77734375" style="2" customWidth="1"/>
    <col min="8968" max="8972" width="3.6640625" style="2" customWidth="1"/>
    <col min="8973" max="8973" width="5.6640625" style="2" customWidth="1"/>
    <col min="8974" max="8974" width="3.6640625" style="2" customWidth="1"/>
    <col min="8975" max="9216" width="9" style="2"/>
    <col min="9217" max="9217" width="3" style="2" customWidth="1"/>
    <col min="9218" max="9218" width="2.77734375" style="2" customWidth="1"/>
    <col min="9219" max="9219" width="14.6640625" style="2" customWidth="1"/>
    <col min="9220" max="9220" width="28" style="2" customWidth="1"/>
    <col min="9221" max="9221" width="31.109375" style="2" customWidth="1"/>
    <col min="9222" max="9222" width="24.109375" style="2" customWidth="1"/>
    <col min="9223" max="9223" width="30.77734375" style="2" customWidth="1"/>
    <col min="9224" max="9228" width="3.6640625" style="2" customWidth="1"/>
    <col min="9229" max="9229" width="5.6640625" style="2" customWidth="1"/>
    <col min="9230" max="9230" width="3.6640625" style="2" customWidth="1"/>
    <col min="9231" max="9472" width="9" style="2"/>
    <col min="9473" max="9473" width="3" style="2" customWidth="1"/>
    <col min="9474" max="9474" width="2.77734375" style="2" customWidth="1"/>
    <col min="9475" max="9475" width="14.6640625" style="2" customWidth="1"/>
    <col min="9476" max="9476" width="28" style="2" customWidth="1"/>
    <col min="9477" max="9477" width="31.109375" style="2" customWidth="1"/>
    <col min="9478" max="9478" width="24.109375" style="2" customWidth="1"/>
    <col min="9479" max="9479" width="30.77734375" style="2" customWidth="1"/>
    <col min="9480" max="9484" width="3.6640625" style="2" customWidth="1"/>
    <col min="9485" max="9485" width="5.6640625" style="2" customWidth="1"/>
    <col min="9486" max="9486" width="3.6640625" style="2" customWidth="1"/>
    <col min="9487" max="9728" width="9" style="2"/>
    <col min="9729" max="9729" width="3" style="2" customWidth="1"/>
    <col min="9730" max="9730" width="2.77734375" style="2" customWidth="1"/>
    <col min="9731" max="9731" width="14.6640625" style="2" customWidth="1"/>
    <col min="9732" max="9732" width="28" style="2" customWidth="1"/>
    <col min="9733" max="9733" width="31.109375" style="2" customWidth="1"/>
    <col min="9734" max="9734" width="24.109375" style="2" customWidth="1"/>
    <col min="9735" max="9735" width="30.77734375" style="2" customWidth="1"/>
    <col min="9736" max="9740" width="3.6640625" style="2" customWidth="1"/>
    <col min="9741" max="9741" width="5.6640625" style="2" customWidth="1"/>
    <col min="9742" max="9742" width="3.6640625" style="2" customWidth="1"/>
    <col min="9743" max="9984" width="9" style="2"/>
    <col min="9985" max="9985" width="3" style="2" customWidth="1"/>
    <col min="9986" max="9986" width="2.77734375" style="2" customWidth="1"/>
    <col min="9987" max="9987" width="14.6640625" style="2" customWidth="1"/>
    <col min="9988" max="9988" width="28" style="2" customWidth="1"/>
    <col min="9989" max="9989" width="31.109375" style="2" customWidth="1"/>
    <col min="9990" max="9990" width="24.109375" style="2" customWidth="1"/>
    <col min="9991" max="9991" width="30.77734375" style="2" customWidth="1"/>
    <col min="9992" max="9996" width="3.6640625" style="2" customWidth="1"/>
    <col min="9997" max="9997" width="5.6640625" style="2" customWidth="1"/>
    <col min="9998" max="9998" width="3.6640625" style="2" customWidth="1"/>
    <col min="9999" max="10240" width="9" style="2"/>
    <col min="10241" max="10241" width="3" style="2" customWidth="1"/>
    <col min="10242" max="10242" width="2.77734375" style="2" customWidth="1"/>
    <col min="10243" max="10243" width="14.6640625" style="2" customWidth="1"/>
    <col min="10244" max="10244" width="28" style="2" customWidth="1"/>
    <col min="10245" max="10245" width="31.109375" style="2" customWidth="1"/>
    <col min="10246" max="10246" width="24.109375" style="2" customWidth="1"/>
    <col min="10247" max="10247" width="30.77734375" style="2" customWidth="1"/>
    <col min="10248" max="10252" width="3.6640625" style="2" customWidth="1"/>
    <col min="10253" max="10253" width="5.6640625" style="2" customWidth="1"/>
    <col min="10254" max="10254" width="3.6640625" style="2" customWidth="1"/>
    <col min="10255" max="10496" width="9" style="2"/>
    <col min="10497" max="10497" width="3" style="2" customWidth="1"/>
    <col min="10498" max="10498" width="2.77734375" style="2" customWidth="1"/>
    <col min="10499" max="10499" width="14.6640625" style="2" customWidth="1"/>
    <col min="10500" max="10500" width="28" style="2" customWidth="1"/>
    <col min="10501" max="10501" width="31.109375" style="2" customWidth="1"/>
    <col min="10502" max="10502" width="24.109375" style="2" customWidth="1"/>
    <col min="10503" max="10503" width="30.77734375" style="2" customWidth="1"/>
    <col min="10504" max="10508" width="3.6640625" style="2" customWidth="1"/>
    <col min="10509" max="10509" width="5.6640625" style="2" customWidth="1"/>
    <col min="10510" max="10510" width="3.6640625" style="2" customWidth="1"/>
    <col min="10511" max="10752" width="9" style="2"/>
    <col min="10753" max="10753" width="3" style="2" customWidth="1"/>
    <col min="10754" max="10754" width="2.77734375" style="2" customWidth="1"/>
    <col min="10755" max="10755" width="14.6640625" style="2" customWidth="1"/>
    <col min="10756" max="10756" width="28" style="2" customWidth="1"/>
    <col min="10757" max="10757" width="31.109375" style="2" customWidth="1"/>
    <col min="10758" max="10758" width="24.109375" style="2" customWidth="1"/>
    <col min="10759" max="10759" width="30.77734375" style="2" customWidth="1"/>
    <col min="10760" max="10764" width="3.6640625" style="2" customWidth="1"/>
    <col min="10765" max="10765" width="5.6640625" style="2" customWidth="1"/>
    <col min="10766" max="10766" width="3.6640625" style="2" customWidth="1"/>
    <col min="10767" max="11008" width="9" style="2"/>
    <col min="11009" max="11009" width="3" style="2" customWidth="1"/>
    <col min="11010" max="11010" width="2.77734375" style="2" customWidth="1"/>
    <col min="11011" max="11011" width="14.6640625" style="2" customWidth="1"/>
    <col min="11012" max="11012" width="28" style="2" customWidth="1"/>
    <col min="11013" max="11013" width="31.109375" style="2" customWidth="1"/>
    <col min="11014" max="11014" width="24.109375" style="2" customWidth="1"/>
    <col min="11015" max="11015" width="30.77734375" style="2" customWidth="1"/>
    <col min="11016" max="11020" width="3.6640625" style="2" customWidth="1"/>
    <col min="11021" max="11021" width="5.6640625" style="2" customWidth="1"/>
    <col min="11022" max="11022" width="3.6640625" style="2" customWidth="1"/>
    <col min="11023" max="11264" width="9" style="2"/>
    <col min="11265" max="11265" width="3" style="2" customWidth="1"/>
    <col min="11266" max="11266" width="2.77734375" style="2" customWidth="1"/>
    <col min="11267" max="11267" width="14.6640625" style="2" customWidth="1"/>
    <col min="11268" max="11268" width="28" style="2" customWidth="1"/>
    <col min="11269" max="11269" width="31.109375" style="2" customWidth="1"/>
    <col min="11270" max="11270" width="24.109375" style="2" customWidth="1"/>
    <col min="11271" max="11271" width="30.77734375" style="2" customWidth="1"/>
    <col min="11272" max="11276" width="3.6640625" style="2" customWidth="1"/>
    <col min="11277" max="11277" width="5.6640625" style="2" customWidth="1"/>
    <col min="11278" max="11278" width="3.6640625" style="2" customWidth="1"/>
    <col min="11279" max="11520" width="9" style="2"/>
    <col min="11521" max="11521" width="3" style="2" customWidth="1"/>
    <col min="11522" max="11522" width="2.77734375" style="2" customWidth="1"/>
    <col min="11523" max="11523" width="14.6640625" style="2" customWidth="1"/>
    <col min="11524" max="11524" width="28" style="2" customWidth="1"/>
    <col min="11525" max="11525" width="31.109375" style="2" customWidth="1"/>
    <col min="11526" max="11526" width="24.109375" style="2" customWidth="1"/>
    <col min="11527" max="11527" width="30.77734375" style="2" customWidth="1"/>
    <col min="11528" max="11532" width="3.6640625" style="2" customWidth="1"/>
    <col min="11533" max="11533" width="5.6640625" style="2" customWidth="1"/>
    <col min="11534" max="11534" width="3.6640625" style="2" customWidth="1"/>
    <col min="11535" max="11776" width="9" style="2"/>
    <col min="11777" max="11777" width="3" style="2" customWidth="1"/>
    <col min="11778" max="11778" width="2.77734375" style="2" customWidth="1"/>
    <col min="11779" max="11779" width="14.6640625" style="2" customWidth="1"/>
    <col min="11780" max="11780" width="28" style="2" customWidth="1"/>
    <col min="11781" max="11781" width="31.109375" style="2" customWidth="1"/>
    <col min="11782" max="11782" width="24.109375" style="2" customWidth="1"/>
    <col min="11783" max="11783" width="30.77734375" style="2" customWidth="1"/>
    <col min="11784" max="11788" width="3.6640625" style="2" customWidth="1"/>
    <col min="11789" max="11789" width="5.6640625" style="2" customWidth="1"/>
    <col min="11790" max="11790" width="3.6640625" style="2" customWidth="1"/>
    <col min="11791" max="12032" width="9" style="2"/>
    <col min="12033" max="12033" width="3" style="2" customWidth="1"/>
    <col min="12034" max="12034" width="2.77734375" style="2" customWidth="1"/>
    <col min="12035" max="12035" width="14.6640625" style="2" customWidth="1"/>
    <col min="12036" max="12036" width="28" style="2" customWidth="1"/>
    <col min="12037" max="12037" width="31.109375" style="2" customWidth="1"/>
    <col min="12038" max="12038" width="24.109375" style="2" customWidth="1"/>
    <col min="12039" max="12039" width="30.77734375" style="2" customWidth="1"/>
    <col min="12040" max="12044" width="3.6640625" style="2" customWidth="1"/>
    <col min="12045" max="12045" width="5.6640625" style="2" customWidth="1"/>
    <col min="12046" max="12046" width="3.6640625" style="2" customWidth="1"/>
    <col min="12047" max="12288" width="9" style="2"/>
    <col min="12289" max="12289" width="3" style="2" customWidth="1"/>
    <col min="12290" max="12290" width="2.77734375" style="2" customWidth="1"/>
    <col min="12291" max="12291" width="14.6640625" style="2" customWidth="1"/>
    <col min="12292" max="12292" width="28" style="2" customWidth="1"/>
    <col min="12293" max="12293" width="31.109375" style="2" customWidth="1"/>
    <col min="12294" max="12294" width="24.109375" style="2" customWidth="1"/>
    <col min="12295" max="12295" width="30.77734375" style="2" customWidth="1"/>
    <col min="12296" max="12300" width="3.6640625" style="2" customWidth="1"/>
    <col min="12301" max="12301" width="5.6640625" style="2" customWidth="1"/>
    <col min="12302" max="12302" width="3.6640625" style="2" customWidth="1"/>
    <col min="12303" max="12544" width="9" style="2"/>
    <col min="12545" max="12545" width="3" style="2" customWidth="1"/>
    <col min="12546" max="12546" width="2.77734375" style="2" customWidth="1"/>
    <col min="12547" max="12547" width="14.6640625" style="2" customWidth="1"/>
    <col min="12548" max="12548" width="28" style="2" customWidth="1"/>
    <col min="12549" max="12549" width="31.109375" style="2" customWidth="1"/>
    <col min="12550" max="12550" width="24.109375" style="2" customWidth="1"/>
    <col min="12551" max="12551" width="30.77734375" style="2" customWidth="1"/>
    <col min="12552" max="12556" width="3.6640625" style="2" customWidth="1"/>
    <col min="12557" max="12557" width="5.6640625" style="2" customWidth="1"/>
    <col min="12558" max="12558" width="3.6640625" style="2" customWidth="1"/>
    <col min="12559" max="12800" width="9" style="2"/>
    <col min="12801" max="12801" width="3" style="2" customWidth="1"/>
    <col min="12802" max="12802" width="2.77734375" style="2" customWidth="1"/>
    <col min="12803" max="12803" width="14.6640625" style="2" customWidth="1"/>
    <col min="12804" max="12804" width="28" style="2" customWidth="1"/>
    <col min="12805" max="12805" width="31.109375" style="2" customWidth="1"/>
    <col min="12806" max="12806" width="24.109375" style="2" customWidth="1"/>
    <col min="12807" max="12807" width="30.77734375" style="2" customWidth="1"/>
    <col min="12808" max="12812" width="3.6640625" style="2" customWidth="1"/>
    <col min="12813" max="12813" width="5.6640625" style="2" customWidth="1"/>
    <col min="12814" max="12814" width="3.6640625" style="2" customWidth="1"/>
    <col min="12815" max="13056" width="9" style="2"/>
    <col min="13057" max="13057" width="3" style="2" customWidth="1"/>
    <col min="13058" max="13058" width="2.77734375" style="2" customWidth="1"/>
    <col min="13059" max="13059" width="14.6640625" style="2" customWidth="1"/>
    <col min="13060" max="13060" width="28" style="2" customWidth="1"/>
    <col min="13061" max="13061" width="31.109375" style="2" customWidth="1"/>
    <col min="13062" max="13062" width="24.109375" style="2" customWidth="1"/>
    <col min="13063" max="13063" width="30.77734375" style="2" customWidth="1"/>
    <col min="13064" max="13068" width="3.6640625" style="2" customWidth="1"/>
    <col min="13069" max="13069" width="5.6640625" style="2" customWidth="1"/>
    <col min="13070" max="13070" width="3.6640625" style="2" customWidth="1"/>
    <col min="13071" max="13312" width="9" style="2"/>
    <col min="13313" max="13313" width="3" style="2" customWidth="1"/>
    <col min="13314" max="13314" width="2.77734375" style="2" customWidth="1"/>
    <col min="13315" max="13315" width="14.6640625" style="2" customWidth="1"/>
    <col min="13316" max="13316" width="28" style="2" customWidth="1"/>
    <col min="13317" max="13317" width="31.109375" style="2" customWidth="1"/>
    <col min="13318" max="13318" width="24.109375" style="2" customWidth="1"/>
    <col min="13319" max="13319" width="30.77734375" style="2" customWidth="1"/>
    <col min="13320" max="13324" width="3.6640625" style="2" customWidth="1"/>
    <col min="13325" max="13325" width="5.6640625" style="2" customWidth="1"/>
    <col min="13326" max="13326" width="3.6640625" style="2" customWidth="1"/>
    <col min="13327" max="13568" width="9" style="2"/>
    <col min="13569" max="13569" width="3" style="2" customWidth="1"/>
    <col min="13570" max="13570" width="2.77734375" style="2" customWidth="1"/>
    <col min="13571" max="13571" width="14.6640625" style="2" customWidth="1"/>
    <col min="13572" max="13572" width="28" style="2" customWidth="1"/>
    <col min="13573" max="13573" width="31.109375" style="2" customWidth="1"/>
    <col min="13574" max="13574" width="24.109375" style="2" customWidth="1"/>
    <col min="13575" max="13575" width="30.77734375" style="2" customWidth="1"/>
    <col min="13576" max="13580" width="3.6640625" style="2" customWidth="1"/>
    <col min="13581" max="13581" width="5.6640625" style="2" customWidth="1"/>
    <col min="13582" max="13582" width="3.6640625" style="2" customWidth="1"/>
    <col min="13583" max="13824" width="9" style="2"/>
    <col min="13825" max="13825" width="3" style="2" customWidth="1"/>
    <col min="13826" max="13826" width="2.77734375" style="2" customWidth="1"/>
    <col min="13827" max="13827" width="14.6640625" style="2" customWidth="1"/>
    <col min="13828" max="13828" width="28" style="2" customWidth="1"/>
    <col min="13829" max="13829" width="31.109375" style="2" customWidth="1"/>
    <col min="13830" max="13830" width="24.109375" style="2" customWidth="1"/>
    <col min="13831" max="13831" width="30.77734375" style="2" customWidth="1"/>
    <col min="13832" max="13836" width="3.6640625" style="2" customWidth="1"/>
    <col min="13837" max="13837" width="5.6640625" style="2" customWidth="1"/>
    <col min="13838" max="13838" width="3.6640625" style="2" customWidth="1"/>
    <col min="13839" max="14080" width="9" style="2"/>
    <col min="14081" max="14081" width="3" style="2" customWidth="1"/>
    <col min="14082" max="14082" width="2.77734375" style="2" customWidth="1"/>
    <col min="14083" max="14083" width="14.6640625" style="2" customWidth="1"/>
    <col min="14084" max="14084" width="28" style="2" customWidth="1"/>
    <col min="14085" max="14085" width="31.109375" style="2" customWidth="1"/>
    <col min="14086" max="14086" width="24.109375" style="2" customWidth="1"/>
    <col min="14087" max="14087" width="30.77734375" style="2" customWidth="1"/>
    <col min="14088" max="14092" width="3.6640625" style="2" customWidth="1"/>
    <col min="14093" max="14093" width="5.6640625" style="2" customWidth="1"/>
    <col min="14094" max="14094" width="3.6640625" style="2" customWidth="1"/>
    <col min="14095" max="14336" width="9" style="2"/>
    <col min="14337" max="14337" width="3" style="2" customWidth="1"/>
    <col min="14338" max="14338" width="2.77734375" style="2" customWidth="1"/>
    <col min="14339" max="14339" width="14.6640625" style="2" customWidth="1"/>
    <col min="14340" max="14340" width="28" style="2" customWidth="1"/>
    <col min="14341" max="14341" width="31.109375" style="2" customWidth="1"/>
    <col min="14342" max="14342" width="24.109375" style="2" customWidth="1"/>
    <col min="14343" max="14343" width="30.77734375" style="2" customWidth="1"/>
    <col min="14344" max="14348" width="3.6640625" style="2" customWidth="1"/>
    <col min="14349" max="14349" width="5.6640625" style="2" customWidth="1"/>
    <col min="14350" max="14350" width="3.6640625" style="2" customWidth="1"/>
    <col min="14351" max="14592" width="9" style="2"/>
    <col min="14593" max="14593" width="3" style="2" customWidth="1"/>
    <col min="14594" max="14594" width="2.77734375" style="2" customWidth="1"/>
    <col min="14595" max="14595" width="14.6640625" style="2" customWidth="1"/>
    <col min="14596" max="14596" width="28" style="2" customWidth="1"/>
    <col min="14597" max="14597" width="31.109375" style="2" customWidth="1"/>
    <col min="14598" max="14598" width="24.109375" style="2" customWidth="1"/>
    <col min="14599" max="14599" width="30.77734375" style="2" customWidth="1"/>
    <col min="14600" max="14604" width="3.6640625" style="2" customWidth="1"/>
    <col min="14605" max="14605" width="5.6640625" style="2" customWidth="1"/>
    <col min="14606" max="14606" width="3.6640625" style="2" customWidth="1"/>
    <col min="14607" max="14848" width="9" style="2"/>
    <col min="14849" max="14849" width="3" style="2" customWidth="1"/>
    <col min="14850" max="14850" width="2.77734375" style="2" customWidth="1"/>
    <col min="14851" max="14851" width="14.6640625" style="2" customWidth="1"/>
    <col min="14852" max="14852" width="28" style="2" customWidth="1"/>
    <col min="14853" max="14853" width="31.109375" style="2" customWidth="1"/>
    <col min="14854" max="14854" width="24.109375" style="2" customWidth="1"/>
    <col min="14855" max="14855" width="30.77734375" style="2" customWidth="1"/>
    <col min="14856" max="14860" width="3.6640625" style="2" customWidth="1"/>
    <col min="14861" max="14861" width="5.6640625" style="2" customWidth="1"/>
    <col min="14862" max="14862" width="3.6640625" style="2" customWidth="1"/>
    <col min="14863" max="15104" width="9" style="2"/>
    <col min="15105" max="15105" width="3" style="2" customWidth="1"/>
    <col min="15106" max="15106" width="2.77734375" style="2" customWidth="1"/>
    <col min="15107" max="15107" width="14.6640625" style="2" customWidth="1"/>
    <col min="15108" max="15108" width="28" style="2" customWidth="1"/>
    <col min="15109" max="15109" width="31.109375" style="2" customWidth="1"/>
    <col min="15110" max="15110" width="24.109375" style="2" customWidth="1"/>
    <col min="15111" max="15111" width="30.77734375" style="2" customWidth="1"/>
    <col min="15112" max="15116" width="3.6640625" style="2" customWidth="1"/>
    <col min="15117" max="15117" width="5.6640625" style="2" customWidth="1"/>
    <col min="15118" max="15118" width="3.6640625" style="2" customWidth="1"/>
    <col min="15119" max="15360" width="9" style="2"/>
    <col min="15361" max="15361" width="3" style="2" customWidth="1"/>
    <col min="15362" max="15362" width="2.77734375" style="2" customWidth="1"/>
    <col min="15363" max="15363" width="14.6640625" style="2" customWidth="1"/>
    <col min="15364" max="15364" width="28" style="2" customWidth="1"/>
    <col min="15365" max="15365" width="31.109375" style="2" customWidth="1"/>
    <col min="15366" max="15366" width="24.109375" style="2" customWidth="1"/>
    <col min="15367" max="15367" width="30.77734375" style="2" customWidth="1"/>
    <col min="15368" max="15372" width="3.6640625" style="2" customWidth="1"/>
    <col min="15373" max="15373" width="5.6640625" style="2" customWidth="1"/>
    <col min="15374" max="15374" width="3.6640625" style="2" customWidth="1"/>
    <col min="15375" max="15616" width="9" style="2"/>
    <col min="15617" max="15617" width="3" style="2" customWidth="1"/>
    <col min="15618" max="15618" width="2.77734375" style="2" customWidth="1"/>
    <col min="15619" max="15619" width="14.6640625" style="2" customWidth="1"/>
    <col min="15620" max="15620" width="28" style="2" customWidth="1"/>
    <col min="15621" max="15621" width="31.109375" style="2" customWidth="1"/>
    <col min="15622" max="15622" width="24.109375" style="2" customWidth="1"/>
    <col min="15623" max="15623" width="30.77734375" style="2" customWidth="1"/>
    <col min="15624" max="15628" width="3.6640625" style="2" customWidth="1"/>
    <col min="15629" max="15629" width="5.6640625" style="2" customWidth="1"/>
    <col min="15630" max="15630" width="3.6640625" style="2" customWidth="1"/>
    <col min="15631" max="15872" width="9" style="2"/>
    <col min="15873" max="15873" width="3" style="2" customWidth="1"/>
    <col min="15874" max="15874" width="2.77734375" style="2" customWidth="1"/>
    <col min="15875" max="15875" width="14.6640625" style="2" customWidth="1"/>
    <col min="15876" max="15876" width="28" style="2" customWidth="1"/>
    <col min="15877" max="15877" width="31.109375" style="2" customWidth="1"/>
    <col min="15878" max="15878" width="24.109375" style="2" customWidth="1"/>
    <col min="15879" max="15879" width="30.77734375" style="2" customWidth="1"/>
    <col min="15880" max="15884" width="3.6640625" style="2" customWidth="1"/>
    <col min="15885" max="15885" width="5.6640625" style="2" customWidth="1"/>
    <col min="15886" max="15886" width="3.6640625" style="2" customWidth="1"/>
    <col min="15887" max="16128" width="9" style="2"/>
    <col min="16129" max="16129" width="3" style="2" customWidth="1"/>
    <col min="16130" max="16130" width="2.77734375" style="2" customWidth="1"/>
    <col min="16131" max="16131" width="14.6640625" style="2" customWidth="1"/>
    <col min="16132" max="16132" width="28" style="2" customWidth="1"/>
    <col min="16133" max="16133" width="31.109375" style="2" customWidth="1"/>
    <col min="16134" max="16134" width="24.109375" style="2" customWidth="1"/>
    <col min="16135" max="16135" width="30.77734375" style="2" customWidth="1"/>
    <col min="16136" max="16140" width="3.6640625" style="2" customWidth="1"/>
    <col min="16141" max="16141" width="5.6640625" style="2" customWidth="1"/>
    <col min="16142" max="16142" width="3.6640625" style="2" customWidth="1"/>
    <col min="16143" max="16384" width="9" style="2"/>
  </cols>
  <sheetData>
    <row r="1" spans="1:15" ht="9" customHeight="1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5" ht="9" customHeight="1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15" ht="11.25" customHeight="1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spans="1:15" ht="11.25" customHeight="1" thickBot="1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</row>
    <row r="5" spans="1:15" ht="15.75" customHeight="1">
      <c r="A5" s="251" t="s">
        <v>0</v>
      </c>
      <c r="B5" s="254" t="s">
        <v>1</v>
      </c>
      <c r="C5" s="257" t="s">
        <v>2</v>
      </c>
      <c r="D5" s="260" t="s">
        <v>3</v>
      </c>
      <c r="E5" s="260" t="s">
        <v>4</v>
      </c>
      <c r="F5" s="260" t="s">
        <v>5</v>
      </c>
      <c r="G5" s="260" t="s">
        <v>6</v>
      </c>
      <c r="H5" s="223" t="s">
        <v>7</v>
      </c>
      <c r="I5" s="223" t="s">
        <v>8</v>
      </c>
      <c r="J5" s="223" t="s">
        <v>9</v>
      </c>
      <c r="K5" s="223" t="s">
        <v>10</v>
      </c>
      <c r="L5" s="223" t="s">
        <v>11</v>
      </c>
      <c r="M5" s="242" t="s">
        <v>12</v>
      </c>
      <c r="N5" s="245" t="s">
        <v>13</v>
      </c>
    </row>
    <row r="6" spans="1:15" ht="13.5" customHeight="1">
      <c r="A6" s="252"/>
      <c r="B6" s="255"/>
      <c r="C6" s="258"/>
      <c r="D6" s="261"/>
      <c r="E6" s="261"/>
      <c r="F6" s="261"/>
      <c r="G6" s="261"/>
      <c r="H6" s="224"/>
      <c r="I6" s="224"/>
      <c r="J6" s="224"/>
      <c r="K6" s="224"/>
      <c r="L6" s="224"/>
      <c r="M6" s="243"/>
      <c r="N6" s="246"/>
    </row>
    <row r="7" spans="1:15" ht="18" customHeight="1" thickBot="1">
      <c r="A7" s="253"/>
      <c r="B7" s="256"/>
      <c r="C7" s="259"/>
      <c r="D7" s="262"/>
      <c r="E7" s="262"/>
      <c r="F7" s="262"/>
      <c r="G7" s="262"/>
      <c r="H7" s="225"/>
      <c r="I7" s="225"/>
      <c r="J7" s="225"/>
      <c r="K7" s="225"/>
      <c r="L7" s="226"/>
      <c r="M7" s="244"/>
      <c r="N7" s="247"/>
    </row>
    <row r="8" spans="1:15" s="70" customFormat="1" ht="30" customHeight="1">
      <c r="A8" s="7">
        <v>1</v>
      </c>
      <c r="B8" s="5" t="s">
        <v>18</v>
      </c>
      <c r="C8" s="99" t="s">
        <v>38</v>
      </c>
      <c r="D8" s="100" t="s">
        <v>39</v>
      </c>
      <c r="E8" s="100" t="s">
        <v>196</v>
      </c>
      <c r="F8" s="100" t="s">
        <v>143</v>
      </c>
      <c r="G8" s="100" t="s">
        <v>195</v>
      </c>
      <c r="H8" s="71">
        <v>4.2</v>
      </c>
      <c r="I8" s="72">
        <v>2</v>
      </c>
      <c r="J8" s="72">
        <v>1.3</v>
      </c>
      <c r="K8" s="72">
        <v>2.8</v>
      </c>
      <c r="L8" s="116">
        <v>1</v>
      </c>
      <c r="M8" s="82">
        <v>272</v>
      </c>
      <c r="N8" s="86">
        <f t="shared" ref="N8" si="0">H8*70+I8*75+J8*25+K8*45+L8*60</f>
        <v>662.5</v>
      </c>
      <c r="O8" s="76"/>
    </row>
    <row r="9" spans="1:15" s="70" customFormat="1" ht="30" customHeight="1">
      <c r="A9" s="5">
        <v>2</v>
      </c>
      <c r="B9" s="5" t="s">
        <v>14</v>
      </c>
      <c r="C9" s="99" t="s">
        <v>35</v>
      </c>
      <c r="D9" s="100" t="s">
        <v>197</v>
      </c>
      <c r="E9" s="100" t="s">
        <v>42</v>
      </c>
      <c r="F9" s="101" t="s">
        <v>198</v>
      </c>
      <c r="G9" s="102" t="s">
        <v>241</v>
      </c>
      <c r="H9" s="71">
        <v>5</v>
      </c>
      <c r="I9" s="72">
        <v>2</v>
      </c>
      <c r="J9" s="72">
        <v>1</v>
      </c>
      <c r="K9" s="93">
        <v>3</v>
      </c>
      <c r="L9" s="72">
        <v>1</v>
      </c>
      <c r="M9" s="94">
        <v>272</v>
      </c>
      <c r="N9" s="75">
        <f t="shared" ref="N9" si="1">H9*70+I9*75+J9*25+K9*45+L9*60</f>
        <v>720</v>
      </c>
      <c r="O9" s="69"/>
    </row>
    <row r="10" spans="1:15" s="70" customFormat="1" ht="30" customHeight="1" thickBot="1">
      <c r="A10" s="3">
        <v>3</v>
      </c>
      <c r="B10" s="4" t="s">
        <v>15</v>
      </c>
      <c r="C10" s="227" t="s">
        <v>201</v>
      </c>
      <c r="D10" s="228"/>
      <c r="E10" s="228"/>
      <c r="F10" s="228"/>
      <c r="G10" s="229"/>
      <c r="H10" s="77">
        <v>5</v>
      </c>
      <c r="I10" s="78">
        <v>2</v>
      </c>
      <c r="J10" s="78">
        <v>2.8</v>
      </c>
      <c r="K10" s="79">
        <v>3</v>
      </c>
      <c r="L10" s="117">
        <v>1</v>
      </c>
      <c r="M10" s="80">
        <v>484</v>
      </c>
      <c r="N10" s="81">
        <f>H10*70+I10*75+J10*25+K10*45+L10*60</f>
        <v>765</v>
      </c>
      <c r="O10" s="69"/>
    </row>
    <row r="11" spans="1:15" s="70" customFormat="1" ht="30" customHeight="1" thickTop="1">
      <c r="A11" s="8">
        <v>6</v>
      </c>
      <c r="B11" s="8" t="s">
        <v>16</v>
      </c>
      <c r="C11" s="95" t="s">
        <v>44</v>
      </c>
      <c r="D11" s="114" t="s">
        <v>203</v>
      </c>
      <c r="E11" s="97" t="s">
        <v>45</v>
      </c>
      <c r="F11" s="96" t="s">
        <v>198</v>
      </c>
      <c r="G11" s="98" t="s">
        <v>46</v>
      </c>
      <c r="H11" s="73">
        <v>4.8</v>
      </c>
      <c r="I11" s="73">
        <v>2</v>
      </c>
      <c r="J11" s="73">
        <v>1.3</v>
      </c>
      <c r="K11" s="73">
        <v>2.8</v>
      </c>
      <c r="L11" s="73">
        <v>1</v>
      </c>
      <c r="M11" s="82">
        <v>305</v>
      </c>
      <c r="N11" s="83">
        <f>H11*70+I11*75+J11*25+K11*45+L11*60</f>
        <v>704.5</v>
      </c>
      <c r="O11" s="69"/>
    </row>
    <row r="12" spans="1:15" s="70" customFormat="1" ht="30" customHeight="1">
      <c r="A12" s="5">
        <v>7</v>
      </c>
      <c r="B12" s="5" t="s">
        <v>28</v>
      </c>
      <c r="C12" s="99" t="s">
        <v>35</v>
      </c>
      <c r="D12" s="100" t="s">
        <v>97</v>
      </c>
      <c r="E12" s="100" t="s">
        <v>152</v>
      </c>
      <c r="F12" s="101" t="s">
        <v>198</v>
      </c>
      <c r="G12" s="102" t="s">
        <v>47</v>
      </c>
      <c r="H12" s="71">
        <v>4.3</v>
      </c>
      <c r="I12" s="72">
        <v>2</v>
      </c>
      <c r="J12" s="72">
        <v>1</v>
      </c>
      <c r="K12" s="72">
        <v>2.2999999999999998</v>
      </c>
      <c r="L12" s="73">
        <v>1</v>
      </c>
      <c r="M12" s="82">
        <v>382</v>
      </c>
      <c r="N12" s="83">
        <f t="shared" ref="N12" si="2">H12*70+I12*75+J12*25+K12*45+L12*60</f>
        <v>639.5</v>
      </c>
      <c r="O12" s="69"/>
    </row>
    <row r="13" spans="1:15" s="70" customFormat="1" ht="30" customHeight="1">
      <c r="A13" s="5">
        <v>8</v>
      </c>
      <c r="B13" s="5" t="s">
        <v>18</v>
      </c>
      <c r="C13" s="101" t="s">
        <v>48</v>
      </c>
      <c r="D13" s="100" t="s">
        <v>60</v>
      </c>
      <c r="E13" s="100" t="s">
        <v>219</v>
      </c>
      <c r="F13" s="100" t="s">
        <v>144</v>
      </c>
      <c r="G13" s="102" t="s">
        <v>49</v>
      </c>
      <c r="H13" s="71">
        <v>4</v>
      </c>
      <c r="I13" s="72">
        <v>2</v>
      </c>
      <c r="J13" s="72">
        <v>1.6</v>
      </c>
      <c r="K13" s="72">
        <v>2.5</v>
      </c>
      <c r="L13" s="73">
        <v>1</v>
      </c>
      <c r="M13" s="82">
        <v>199</v>
      </c>
      <c r="N13" s="83">
        <f>H13*70+I13*75+J13*25+K13*45+L13*60</f>
        <v>642.5</v>
      </c>
      <c r="O13" s="69"/>
    </row>
    <row r="14" spans="1:15" s="70" customFormat="1" ht="30" customHeight="1" thickBot="1">
      <c r="A14" s="5">
        <v>9</v>
      </c>
      <c r="B14" s="5" t="s">
        <v>14</v>
      </c>
      <c r="C14" s="230" t="s">
        <v>226</v>
      </c>
      <c r="D14" s="231"/>
      <c r="E14" s="231"/>
      <c r="F14" s="231"/>
      <c r="G14" s="232"/>
      <c r="H14" s="72">
        <v>5</v>
      </c>
      <c r="I14" s="72">
        <v>2</v>
      </c>
      <c r="J14" s="72">
        <v>1</v>
      </c>
      <c r="K14" s="93">
        <v>3</v>
      </c>
      <c r="L14" s="68">
        <v>1</v>
      </c>
      <c r="M14" s="94">
        <v>109</v>
      </c>
      <c r="N14" s="75">
        <f>H14*70+I14*75+J14*25+K14*45+L14*60</f>
        <v>720</v>
      </c>
      <c r="O14" s="69"/>
    </row>
    <row r="15" spans="1:15" s="70" customFormat="1" ht="30" customHeight="1" thickBot="1">
      <c r="A15" s="6">
        <v>10</v>
      </c>
      <c r="B15" s="6" t="s">
        <v>15</v>
      </c>
      <c r="C15" s="101" t="s">
        <v>225</v>
      </c>
      <c r="D15" s="101" t="s">
        <v>239</v>
      </c>
      <c r="E15" s="101" t="s">
        <v>57</v>
      </c>
      <c r="F15" s="101" t="s">
        <v>202</v>
      </c>
      <c r="G15" s="103" t="s">
        <v>55</v>
      </c>
      <c r="H15" s="84">
        <v>4.3</v>
      </c>
      <c r="I15" s="73">
        <v>2</v>
      </c>
      <c r="J15" s="73">
        <v>1.5</v>
      </c>
      <c r="K15" s="87">
        <v>2.2999999999999998</v>
      </c>
      <c r="L15" s="118"/>
      <c r="M15" s="88">
        <v>332</v>
      </c>
      <c r="N15" s="83">
        <f>H15*70+I15*75+J15*25+K15*45+L15*60</f>
        <v>592</v>
      </c>
      <c r="O15" s="76"/>
    </row>
    <row r="16" spans="1:15" s="70" customFormat="1" ht="30" customHeight="1" thickTop="1">
      <c r="A16" s="141">
        <v>13</v>
      </c>
      <c r="B16" s="142" t="s">
        <v>16</v>
      </c>
      <c r="C16" s="143" t="s">
        <v>216</v>
      </c>
      <c r="D16" s="144" t="s">
        <v>53</v>
      </c>
      <c r="E16" s="145" t="s">
        <v>54</v>
      </c>
      <c r="F16" s="144" t="s">
        <v>198</v>
      </c>
      <c r="G16" s="146" t="s">
        <v>56</v>
      </c>
      <c r="H16" s="147">
        <v>5</v>
      </c>
      <c r="I16" s="147">
        <v>2</v>
      </c>
      <c r="J16" s="147">
        <v>1.1000000000000001</v>
      </c>
      <c r="K16" s="147">
        <v>3</v>
      </c>
      <c r="L16" s="148">
        <v>1</v>
      </c>
      <c r="M16" s="149">
        <v>302</v>
      </c>
      <c r="N16" s="150">
        <f t="shared" ref="N16:N27" si="3">H16*70+I16*75+J16*25+K16*45+L16*60</f>
        <v>722.5</v>
      </c>
      <c r="O16" s="69"/>
    </row>
    <row r="17" spans="1:15" s="70" customFormat="1" ht="30" customHeight="1">
      <c r="A17" s="151">
        <v>14</v>
      </c>
      <c r="B17" s="152" t="s">
        <v>227</v>
      </c>
      <c r="C17" s="239" t="s">
        <v>204</v>
      </c>
      <c r="D17" s="240"/>
      <c r="E17" s="240"/>
      <c r="F17" s="240"/>
      <c r="G17" s="241"/>
      <c r="H17" s="157">
        <v>5</v>
      </c>
      <c r="I17" s="158">
        <v>2</v>
      </c>
      <c r="J17" s="158">
        <v>1.1000000000000001</v>
      </c>
      <c r="K17" s="158">
        <v>3</v>
      </c>
      <c r="L17" s="158">
        <v>1</v>
      </c>
      <c r="M17" s="160">
        <f>菜單明細!F46</f>
        <v>0</v>
      </c>
      <c r="N17" s="161">
        <f t="shared" ref="N17" si="4">H17*70+I17*75+J17*25+K17*45+L17*60</f>
        <v>722.5</v>
      </c>
      <c r="O17" s="69"/>
    </row>
    <row r="18" spans="1:15" s="70" customFormat="1" ht="30" customHeight="1" thickBot="1">
      <c r="A18" s="151">
        <v>15</v>
      </c>
      <c r="B18" s="152" t="s">
        <v>18</v>
      </c>
      <c r="C18" s="171" t="s">
        <v>103</v>
      </c>
      <c r="D18" s="156" t="s">
        <v>218</v>
      </c>
      <c r="E18" s="156" t="s">
        <v>217</v>
      </c>
      <c r="F18" s="156" t="s">
        <v>149</v>
      </c>
      <c r="G18" s="156" t="s">
        <v>104</v>
      </c>
      <c r="H18" s="157">
        <v>4.2</v>
      </c>
      <c r="I18" s="158">
        <v>2</v>
      </c>
      <c r="J18" s="158">
        <v>1.3</v>
      </c>
      <c r="K18" s="158">
        <v>2.8</v>
      </c>
      <c r="L18" s="189">
        <v>1</v>
      </c>
      <c r="M18" s="154">
        <v>272</v>
      </c>
      <c r="N18" s="155">
        <f t="shared" si="3"/>
        <v>662.5</v>
      </c>
      <c r="O18" s="76"/>
    </row>
    <row r="19" spans="1:15" s="70" customFormat="1" ht="30" customHeight="1" thickBot="1">
      <c r="A19" s="151">
        <v>16</v>
      </c>
      <c r="B19" s="152" t="s">
        <v>14</v>
      </c>
      <c r="C19" s="185" t="s">
        <v>48</v>
      </c>
      <c r="D19" s="156" t="s">
        <v>230</v>
      </c>
      <c r="E19" s="156" t="s">
        <v>231</v>
      </c>
      <c r="F19" s="156" t="s">
        <v>229</v>
      </c>
      <c r="G19" s="186" t="s">
        <v>228</v>
      </c>
      <c r="H19" s="157">
        <v>5</v>
      </c>
      <c r="I19" s="158">
        <v>2</v>
      </c>
      <c r="J19" s="158">
        <v>1.1000000000000001</v>
      </c>
      <c r="K19" s="187">
        <v>3</v>
      </c>
      <c r="L19" s="168"/>
      <c r="M19" s="188">
        <f>菜單明細!F49</f>
        <v>140.36799999999999</v>
      </c>
      <c r="N19" s="161">
        <f t="shared" si="3"/>
        <v>662.5</v>
      </c>
      <c r="O19" s="69"/>
    </row>
    <row r="20" spans="1:15" s="70" customFormat="1" ht="30" customHeight="1" thickBot="1">
      <c r="A20" s="162">
        <v>17</v>
      </c>
      <c r="B20" s="163" t="s">
        <v>15</v>
      </c>
      <c r="C20" s="164" t="s">
        <v>58</v>
      </c>
      <c r="D20" s="165" t="s">
        <v>243</v>
      </c>
      <c r="E20" s="164" t="s">
        <v>59</v>
      </c>
      <c r="F20" s="165" t="s">
        <v>207</v>
      </c>
      <c r="G20" s="165" t="s">
        <v>206</v>
      </c>
      <c r="H20" s="166">
        <v>4.5999999999999996</v>
      </c>
      <c r="I20" s="166">
        <v>2</v>
      </c>
      <c r="J20" s="166">
        <v>1</v>
      </c>
      <c r="K20" s="167">
        <v>3</v>
      </c>
      <c r="L20" s="190">
        <v>1</v>
      </c>
      <c r="M20" s="169">
        <v>324</v>
      </c>
      <c r="N20" s="170">
        <f t="shared" si="3"/>
        <v>692</v>
      </c>
      <c r="O20" s="76"/>
    </row>
    <row r="21" spans="1:15" s="70" customFormat="1" ht="30" customHeight="1" thickTop="1" thickBot="1">
      <c r="A21" s="8">
        <v>20</v>
      </c>
      <c r="B21" s="8" t="s">
        <v>16</v>
      </c>
      <c r="C21" s="233" t="s">
        <v>213</v>
      </c>
      <c r="D21" s="234"/>
      <c r="E21" s="234"/>
      <c r="F21" s="234"/>
      <c r="G21" s="235"/>
      <c r="H21" s="73">
        <v>5</v>
      </c>
      <c r="I21" s="73">
        <v>2</v>
      </c>
      <c r="J21" s="73">
        <v>1.4</v>
      </c>
      <c r="K21" s="73">
        <v>3</v>
      </c>
      <c r="L21" s="73">
        <v>1</v>
      </c>
      <c r="M21" s="82">
        <v>247</v>
      </c>
      <c r="N21" s="83">
        <f t="shared" si="3"/>
        <v>730</v>
      </c>
      <c r="O21" s="69"/>
    </row>
    <row r="22" spans="1:15" s="70" customFormat="1" ht="30" customHeight="1" thickBot="1">
      <c r="A22" s="5">
        <v>21</v>
      </c>
      <c r="B22" s="5" t="s">
        <v>17</v>
      </c>
      <c r="C22" s="99" t="s">
        <v>35</v>
      </c>
      <c r="D22" s="100" t="s">
        <v>240</v>
      </c>
      <c r="E22" s="100" t="s">
        <v>151</v>
      </c>
      <c r="F22" s="100" t="s">
        <v>198</v>
      </c>
      <c r="G22" s="115" t="s">
        <v>242</v>
      </c>
      <c r="H22" s="84">
        <v>4.2</v>
      </c>
      <c r="I22" s="73">
        <v>2</v>
      </c>
      <c r="J22" s="73">
        <v>1</v>
      </c>
      <c r="K22" s="87">
        <v>3</v>
      </c>
      <c r="L22" s="118"/>
      <c r="M22" s="88">
        <v>477</v>
      </c>
      <c r="N22" s="83">
        <f t="shared" si="3"/>
        <v>604</v>
      </c>
      <c r="O22" s="69"/>
    </row>
    <row r="23" spans="1:15" s="70" customFormat="1" ht="30" customHeight="1">
      <c r="A23" s="5">
        <v>22</v>
      </c>
      <c r="B23" s="5" t="s">
        <v>18</v>
      </c>
      <c r="C23" s="104" t="s">
        <v>61</v>
      </c>
      <c r="D23" s="101" t="s">
        <v>220</v>
      </c>
      <c r="E23" s="100" t="s">
        <v>117</v>
      </c>
      <c r="F23" s="100" t="s">
        <v>214</v>
      </c>
      <c r="G23" s="100" t="s">
        <v>62</v>
      </c>
      <c r="H23" s="71">
        <v>4.5</v>
      </c>
      <c r="I23" s="72">
        <v>2</v>
      </c>
      <c r="J23" s="72">
        <v>1</v>
      </c>
      <c r="K23" s="72">
        <v>2.4</v>
      </c>
      <c r="L23" s="73">
        <v>1</v>
      </c>
      <c r="M23" s="74">
        <v>186</v>
      </c>
      <c r="N23" s="75">
        <f t="shared" si="3"/>
        <v>658</v>
      </c>
      <c r="O23" s="76"/>
    </row>
    <row r="24" spans="1:15" s="70" customFormat="1" ht="30" customHeight="1">
      <c r="A24" s="5">
        <v>23</v>
      </c>
      <c r="B24" s="5" t="s">
        <v>14</v>
      </c>
      <c r="C24" s="104" t="s">
        <v>215</v>
      </c>
      <c r="D24" s="101" t="s">
        <v>64</v>
      </c>
      <c r="E24" s="100" t="s">
        <v>65</v>
      </c>
      <c r="F24" s="100" t="s">
        <v>198</v>
      </c>
      <c r="G24" s="100" t="s">
        <v>66</v>
      </c>
      <c r="H24" s="71">
        <v>5</v>
      </c>
      <c r="I24" s="72">
        <v>2</v>
      </c>
      <c r="J24" s="72">
        <v>1</v>
      </c>
      <c r="K24" s="72">
        <v>3</v>
      </c>
      <c r="L24" s="68">
        <v>1</v>
      </c>
      <c r="M24" s="74">
        <v>265</v>
      </c>
      <c r="N24" s="75">
        <f t="shared" si="3"/>
        <v>720</v>
      </c>
      <c r="O24" s="69"/>
    </row>
    <row r="25" spans="1:15" s="70" customFormat="1" ht="30" customHeight="1">
      <c r="A25" s="6">
        <v>24</v>
      </c>
      <c r="B25" s="6" t="s">
        <v>15</v>
      </c>
      <c r="C25" s="172" t="s">
        <v>67</v>
      </c>
      <c r="D25" s="173" t="s">
        <v>68</v>
      </c>
      <c r="E25" s="173" t="s">
        <v>70</v>
      </c>
      <c r="F25" s="173" t="s">
        <v>224</v>
      </c>
      <c r="G25" s="173" t="s">
        <v>69</v>
      </c>
      <c r="H25" s="68">
        <v>4.5999999999999996</v>
      </c>
      <c r="I25" s="68">
        <v>2</v>
      </c>
      <c r="J25" s="68">
        <v>1.3</v>
      </c>
      <c r="K25" s="68">
        <v>3</v>
      </c>
      <c r="L25" s="68">
        <v>1</v>
      </c>
      <c r="M25" s="175">
        <v>204</v>
      </c>
      <c r="N25" s="176">
        <f t="shared" si="3"/>
        <v>699.5</v>
      </c>
      <c r="O25" s="69"/>
    </row>
    <row r="26" spans="1:15" s="70" customFormat="1" ht="30" customHeight="1" thickBot="1">
      <c r="A26" s="3">
        <v>25</v>
      </c>
      <c r="B26" s="3" t="s">
        <v>245</v>
      </c>
      <c r="C26" s="105" t="s">
        <v>246</v>
      </c>
      <c r="D26" s="106" t="s">
        <v>249</v>
      </c>
      <c r="E26" s="106" t="s">
        <v>248</v>
      </c>
      <c r="F26" s="106" t="s">
        <v>247</v>
      </c>
      <c r="G26" s="106" t="s">
        <v>250</v>
      </c>
      <c r="H26" s="78">
        <v>5</v>
      </c>
      <c r="I26" s="78">
        <v>2</v>
      </c>
      <c r="J26" s="78">
        <v>1.3</v>
      </c>
      <c r="K26" s="78">
        <v>3</v>
      </c>
      <c r="L26" s="78">
        <v>1</v>
      </c>
      <c r="M26" s="192">
        <v>293</v>
      </c>
      <c r="N26" s="81">
        <f>H26*70+I26*75+J26*25+K26*45+L26*60</f>
        <v>727.5</v>
      </c>
      <c r="O26" s="69"/>
    </row>
    <row r="27" spans="1:15" s="70" customFormat="1" ht="30" customHeight="1" thickTop="1" thickBot="1">
      <c r="A27" s="8">
        <v>27</v>
      </c>
      <c r="B27" s="8" t="s">
        <v>16</v>
      </c>
      <c r="C27" s="104" t="s">
        <v>71</v>
      </c>
      <c r="D27" s="101" t="s">
        <v>205</v>
      </c>
      <c r="E27" s="104" t="s">
        <v>72</v>
      </c>
      <c r="F27" s="101" t="s">
        <v>198</v>
      </c>
      <c r="G27" s="101" t="s">
        <v>73</v>
      </c>
      <c r="H27" s="73">
        <v>4.5</v>
      </c>
      <c r="I27" s="73">
        <v>2.1</v>
      </c>
      <c r="J27" s="73">
        <v>1</v>
      </c>
      <c r="K27" s="87">
        <v>3</v>
      </c>
      <c r="L27" s="191"/>
      <c r="M27" s="88">
        <v>351</v>
      </c>
      <c r="N27" s="83">
        <f t="shared" si="3"/>
        <v>632.5</v>
      </c>
      <c r="O27" s="69"/>
    </row>
    <row r="28" spans="1:15" s="70" customFormat="1" ht="30" customHeight="1">
      <c r="A28" s="8">
        <v>28</v>
      </c>
      <c r="B28" s="8" t="s">
        <v>17</v>
      </c>
      <c r="C28" s="236" t="s">
        <v>142</v>
      </c>
      <c r="D28" s="237"/>
      <c r="E28" s="237"/>
      <c r="F28" s="237"/>
      <c r="G28" s="238"/>
      <c r="H28" s="84">
        <v>0</v>
      </c>
      <c r="I28" s="73">
        <v>0</v>
      </c>
      <c r="J28" s="73">
        <v>0</v>
      </c>
      <c r="K28" s="87">
        <v>0</v>
      </c>
      <c r="L28" s="73">
        <v>0</v>
      </c>
      <c r="M28" s="88">
        <v>0</v>
      </c>
      <c r="N28" s="83">
        <f t="shared" ref="N28:N30" si="5">H28*70+I28*75+J28*25+K28*45+L28*60</f>
        <v>0</v>
      </c>
      <c r="O28" s="69"/>
    </row>
    <row r="29" spans="1:15" s="70" customFormat="1" ht="30" customHeight="1">
      <c r="A29" s="5">
        <v>29</v>
      </c>
      <c r="B29" s="5" t="s">
        <v>18</v>
      </c>
      <c r="C29" s="104" t="s">
        <v>194</v>
      </c>
      <c r="D29" s="101" t="s">
        <v>222</v>
      </c>
      <c r="E29" s="100" t="s">
        <v>75</v>
      </c>
      <c r="F29" s="100" t="s">
        <v>209</v>
      </c>
      <c r="G29" s="100" t="s">
        <v>76</v>
      </c>
      <c r="H29" s="71">
        <v>4.5</v>
      </c>
      <c r="I29" s="72">
        <v>2</v>
      </c>
      <c r="J29" s="72">
        <v>1</v>
      </c>
      <c r="K29" s="72">
        <v>2.4</v>
      </c>
      <c r="L29" s="73">
        <v>1</v>
      </c>
      <c r="M29" s="74">
        <v>286</v>
      </c>
      <c r="N29" s="75">
        <f t="shared" si="5"/>
        <v>658</v>
      </c>
      <c r="O29" s="76"/>
    </row>
    <row r="30" spans="1:15" s="70" customFormat="1" ht="30" customHeight="1">
      <c r="A30" s="6">
        <v>30</v>
      </c>
      <c r="B30" s="6" t="s">
        <v>14</v>
      </c>
      <c r="C30" s="172" t="s">
        <v>212</v>
      </c>
      <c r="D30" s="173" t="s">
        <v>210</v>
      </c>
      <c r="E30" s="173" t="s">
        <v>208</v>
      </c>
      <c r="F30" s="173" t="s">
        <v>198</v>
      </c>
      <c r="G30" s="173" t="s">
        <v>244</v>
      </c>
      <c r="H30" s="174">
        <v>5</v>
      </c>
      <c r="I30" s="68">
        <v>2</v>
      </c>
      <c r="J30" s="68">
        <v>1</v>
      </c>
      <c r="K30" s="68">
        <v>3</v>
      </c>
      <c r="L30" s="68">
        <v>1</v>
      </c>
      <c r="M30" s="175">
        <v>265</v>
      </c>
      <c r="N30" s="176">
        <f t="shared" si="5"/>
        <v>720</v>
      </c>
      <c r="O30" s="69"/>
    </row>
    <row r="31" spans="1:15" s="70" customFormat="1" ht="30" customHeight="1" thickBot="1">
      <c r="A31" s="177">
        <v>31</v>
      </c>
      <c r="B31" s="178" t="s">
        <v>15</v>
      </c>
      <c r="C31" s="179" t="s">
        <v>35</v>
      </c>
      <c r="D31" s="180" t="s">
        <v>211</v>
      </c>
      <c r="E31" s="180" t="s">
        <v>317</v>
      </c>
      <c r="F31" s="180" t="s">
        <v>223</v>
      </c>
      <c r="G31" s="180" t="s">
        <v>221</v>
      </c>
      <c r="H31" s="181">
        <v>5</v>
      </c>
      <c r="I31" s="182">
        <v>2</v>
      </c>
      <c r="J31" s="182">
        <v>1</v>
      </c>
      <c r="K31" s="182">
        <v>2</v>
      </c>
      <c r="L31" s="182">
        <v>1</v>
      </c>
      <c r="M31" s="183">
        <v>293</v>
      </c>
      <c r="N31" s="184">
        <f>H31*70+I31*75+J31*25+K31*45+L31*60</f>
        <v>675</v>
      </c>
      <c r="O31" s="69"/>
    </row>
    <row r="32" spans="1:15" ht="13.5" customHeight="1" thickTop="1">
      <c r="A32" s="220" t="s">
        <v>19</v>
      </c>
      <c r="B32" s="221"/>
      <c r="C32" s="221"/>
      <c r="D32" s="221"/>
      <c r="E32" s="221"/>
      <c r="F32" s="222"/>
      <c r="G32" s="9" t="s">
        <v>29</v>
      </c>
      <c r="H32" s="10">
        <v>4.5</v>
      </c>
      <c r="I32" s="10">
        <v>2</v>
      </c>
      <c r="J32" s="10">
        <v>1.5</v>
      </c>
      <c r="K32" s="10">
        <v>2</v>
      </c>
      <c r="L32" s="11">
        <v>1</v>
      </c>
      <c r="M32" s="12">
        <v>0</v>
      </c>
      <c r="N32" s="13">
        <v>650</v>
      </c>
    </row>
    <row r="33" spans="1:15" ht="13.5" customHeight="1" thickBot="1">
      <c r="A33" s="199" t="s">
        <v>20</v>
      </c>
      <c r="B33" s="200"/>
      <c r="C33" s="200"/>
      <c r="D33" s="200"/>
      <c r="E33" s="200"/>
      <c r="F33" s="201"/>
      <c r="G33" s="14" t="s">
        <v>30</v>
      </c>
      <c r="H33" s="15">
        <v>5</v>
      </c>
      <c r="I33" s="15">
        <v>2</v>
      </c>
      <c r="J33" s="15">
        <v>2</v>
      </c>
      <c r="K33" s="15">
        <v>2.5</v>
      </c>
      <c r="L33" s="15">
        <v>1</v>
      </c>
      <c r="M33" s="16">
        <v>0</v>
      </c>
      <c r="N33" s="17">
        <v>750</v>
      </c>
    </row>
    <row r="34" spans="1:15" s="18" customFormat="1" ht="19.5" customHeight="1">
      <c r="A34" s="202" t="s">
        <v>21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4"/>
      <c r="O34" s="1"/>
    </row>
    <row r="35" spans="1:15" s="18" customFormat="1" ht="19.5" customHeight="1">
      <c r="A35" s="205" t="s">
        <v>22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19"/>
      <c r="N35" s="1"/>
    </row>
    <row r="36" spans="1:15" s="18" customFormat="1" ht="19.5" customHeight="1">
      <c r="A36" s="205" t="s">
        <v>34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7"/>
      <c r="O36" s="1"/>
    </row>
    <row r="37" spans="1:15" s="18" customFormat="1" ht="60" customHeight="1">
      <c r="A37" s="208" t="s">
        <v>232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10"/>
      <c r="O37" s="1"/>
    </row>
    <row r="38" spans="1:15" s="18" customFormat="1" ht="16.2">
      <c r="A38" s="196" t="s">
        <v>199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8"/>
      <c r="O38" s="1"/>
    </row>
    <row r="39" spans="1:15" s="18" customFormat="1" ht="16.2">
      <c r="A39" s="196" t="s">
        <v>200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8"/>
      <c r="O39" s="1"/>
    </row>
    <row r="40" spans="1:15" s="18" customFormat="1" ht="16.2">
      <c r="A40" s="196" t="s">
        <v>233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8"/>
      <c r="O40" s="1"/>
    </row>
    <row r="41" spans="1:15" s="18" customFormat="1" ht="16.2">
      <c r="A41" s="193" t="s">
        <v>23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5"/>
      <c r="O41" s="1"/>
    </row>
    <row r="42" spans="1:15" s="18" customFormat="1" ht="16.2">
      <c r="A42" s="193" t="s">
        <v>24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5"/>
      <c r="O42" s="1"/>
    </row>
    <row r="43" spans="1:15" s="18" customFormat="1" ht="16.2">
      <c r="A43" s="217" t="s">
        <v>236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9"/>
      <c r="O43" s="1"/>
    </row>
    <row r="44" spans="1:15" s="20" customFormat="1" ht="19.5" customHeight="1">
      <c r="A44" s="217" t="s">
        <v>153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9"/>
      <c r="O44" s="1"/>
    </row>
    <row r="45" spans="1:15" s="20" customFormat="1" ht="19.5" customHeight="1">
      <c r="A45" s="217" t="s">
        <v>237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9"/>
      <c r="O45" s="1"/>
    </row>
    <row r="46" spans="1:15" s="20" customFormat="1" ht="19.5" customHeight="1">
      <c r="A46" s="217" t="s">
        <v>235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9"/>
      <c r="O46" s="1"/>
    </row>
    <row r="47" spans="1:15" s="20" customFormat="1" ht="19.5" customHeight="1">
      <c r="A47" s="217" t="s">
        <v>234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9"/>
      <c r="O47" s="1"/>
    </row>
    <row r="48" spans="1:15" ht="54" customHeight="1" thickBot="1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3"/>
    </row>
    <row r="49" spans="1:18" ht="76.5" customHeight="1">
      <c r="A49" s="21"/>
      <c r="B49" s="22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4"/>
    </row>
    <row r="50" spans="1:18" ht="76.5" customHeight="1">
      <c r="A50" s="21"/>
      <c r="B50" s="22"/>
      <c r="C50" s="23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4"/>
    </row>
    <row r="51" spans="1:18" ht="76.5" customHeight="1">
      <c r="A51" s="21"/>
      <c r="B51" s="22"/>
      <c r="C51" s="2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4"/>
    </row>
    <row r="52" spans="1:18" ht="13.5" customHeight="1">
      <c r="A52" s="25"/>
      <c r="N52" s="30"/>
    </row>
    <row r="53" spans="1:18" s="1" customFormat="1" ht="13.5" customHeight="1">
      <c r="A53" s="25"/>
      <c r="B53" s="2"/>
      <c r="C53" s="26"/>
      <c r="D53" s="27"/>
      <c r="E53" s="2"/>
      <c r="F53" s="2"/>
      <c r="G53" s="2"/>
      <c r="H53" s="28"/>
      <c r="I53" s="28"/>
      <c r="J53" s="28"/>
      <c r="K53" s="28"/>
      <c r="L53" s="28"/>
      <c r="M53" s="29"/>
      <c r="N53" s="30"/>
      <c r="P53" s="2"/>
      <c r="Q53" s="2"/>
      <c r="R53" s="2"/>
    </row>
    <row r="54" spans="1:18" s="1" customFormat="1" ht="55.5" customHeight="1" thickBot="1">
      <c r="A54" s="214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6"/>
      <c r="P54" s="2"/>
      <c r="Q54" s="2"/>
      <c r="R54" s="2"/>
    </row>
  </sheetData>
  <mergeCells count="39">
    <mergeCell ref="M5:M7"/>
    <mergeCell ref="N5:N7"/>
    <mergeCell ref="A1:N2"/>
    <mergeCell ref="A3:N4"/>
    <mergeCell ref="A5:A7"/>
    <mergeCell ref="B5:B7"/>
    <mergeCell ref="C5:C7"/>
    <mergeCell ref="D5:D7"/>
    <mergeCell ref="E5:E7"/>
    <mergeCell ref="F5:F7"/>
    <mergeCell ref="G5:G7"/>
    <mergeCell ref="H5:H7"/>
    <mergeCell ref="A32:F32"/>
    <mergeCell ref="I5:I7"/>
    <mergeCell ref="J5:J7"/>
    <mergeCell ref="K5:K7"/>
    <mergeCell ref="L5:L7"/>
    <mergeCell ref="C10:G10"/>
    <mergeCell ref="C14:G14"/>
    <mergeCell ref="C21:G21"/>
    <mergeCell ref="C28:G28"/>
    <mergeCell ref="C17:G17"/>
    <mergeCell ref="A48:N48"/>
    <mergeCell ref="A54:N54"/>
    <mergeCell ref="A42:N42"/>
    <mergeCell ref="A43:N43"/>
    <mergeCell ref="A44:N44"/>
    <mergeCell ref="A45:N45"/>
    <mergeCell ref="A46:N46"/>
    <mergeCell ref="A47:N47"/>
    <mergeCell ref="A41:N41"/>
    <mergeCell ref="A38:N38"/>
    <mergeCell ref="A39:N39"/>
    <mergeCell ref="A33:F33"/>
    <mergeCell ref="A34:N34"/>
    <mergeCell ref="A35:L35"/>
    <mergeCell ref="A36:N36"/>
    <mergeCell ref="A37:N37"/>
    <mergeCell ref="A40:N40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1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view="pageBreakPreview" topLeftCell="A26" zoomScale="115" zoomScaleNormal="100" zoomScaleSheetLayoutView="115" workbookViewId="0">
      <selection activeCell="C68" sqref="C68"/>
    </sheetView>
  </sheetViews>
  <sheetFormatPr defaultColWidth="8.88671875" defaultRowHeight="16.2"/>
  <cols>
    <col min="1" max="1" width="8.88671875" style="31"/>
    <col min="2" max="2" width="18.88671875" style="31" customWidth="1"/>
    <col min="3" max="3" width="89.44140625" style="91" bestFit="1" customWidth="1"/>
    <col min="4" max="4" width="8.88671875" style="31"/>
    <col min="5" max="5" width="5.77734375" style="31" hidden="1" customWidth="1"/>
    <col min="6" max="6" width="0" style="32" hidden="1" customWidth="1"/>
    <col min="7" max="249" width="8.88671875" style="31"/>
    <col min="250" max="250" width="18.88671875" style="31" customWidth="1"/>
    <col min="251" max="251" width="89.44140625" style="31" bestFit="1" customWidth="1"/>
    <col min="252" max="252" width="8.88671875" style="31"/>
    <col min="253" max="254" width="0" style="31" hidden="1" customWidth="1"/>
    <col min="255" max="505" width="8.88671875" style="31"/>
    <col min="506" max="506" width="18.88671875" style="31" customWidth="1"/>
    <col min="507" max="507" width="89.44140625" style="31" bestFit="1" customWidth="1"/>
    <col min="508" max="508" width="8.88671875" style="31"/>
    <col min="509" max="510" width="0" style="31" hidden="1" customWidth="1"/>
    <col min="511" max="761" width="8.88671875" style="31"/>
    <col min="762" max="762" width="18.88671875" style="31" customWidth="1"/>
    <col min="763" max="763" width="89.44140625" style="31" bestFit="1" customWidth="1"/>
    <col min="764" max="764" width="8.88671875" style="31"/>
    <col min="765" max="766" width="0" style="31" hidden="1" customWidth="1"/>
    <col min="767" max="1017" width="8.88671875" style="31"/>
    <col min="1018" max="1018" width="18.88671875" style="31" customWidth="1"/>
    <col min="1019" max="1019" width="89.44140625" style="31" bestFit="1" customWidth="1"/>
    <col min="1020" max="1020" width="8.88671875" style="31"/>
    <col min="1021" max="1022" width="0" style="31" hidden="1" customWidth="1"/>
    <col min="1023" max="1273" width="8.88671875" style="31"/>
    <col min="1274" max="1274" width="18.88671875" style="31" customWidth="1"/>
    <col min="1275" max="1275" width="89.44140625" style="31" bestFit="1" customWidth="1"/>
    <col min="1276" max="1276" width="8.88671875" style="31"/>
    <col min="1277" max="1278" width="0" style="31" hidden="1" customWidth="1"/>
    <col min="1279" max="1529" width="8.88671875" style="31"/>
    <col min="1530" max="1530" width="18.88671875" style="31" customWidth="1"/>
    <col min="1531" max="1531" width="89.44140625" style="31" bestFit="1" customWidth="1"/>
    <col min="1532" max="1532" width="8.88671875" style="31"/>
    <col min="1533" max="1534" width="0" style="31" hidden="1" customWidth="1"/>
    <col min="1535" max="1785" width="8.88671875" style="31"/>
    <col min="1786" max="1786" width="18.88671875" style="31" customWidth="1"/>
    <col min="1787" max="1787" width="89.44140625" style="31" bestFit="1" customWidth="1"/>
    <col min="1788" max="1788" width="8.88671875" style="31"/>
    <col min="1789" max="1790" width="0" style="31" hidden="1" customWidth="1"/>
    <col min="1791" max="2041" width="8.88671875" style="31"/>
    <col min="2042" max="2042" width="18.88671875" style="31" customWidth="1"/>
    <col min="2043" max="2043" width="89.44140625" style="31" bestFit="1" customWidth="1"/>
    <col min="2044" max="2044" width="8.88671875" style="31"/>
    <col min="2045" max="2046" width="0" style="31" hidden="1" customWidth="1"/>
    <col min="2047" max="2297" width="8.88671875" style="31"/>
    <col min="2298" max="2298" width="18.88671875" style="31" customWidth="1"/>
    <col min="2299" max="2299" width="89.44140625" style="31" bestFit="1" customWidth="1"/>
    <col min="2300" max="2300" width="8.88671875" style="31"/>
    <col min="2301" max="2302" width="0" style="31" hidden="1" customWidth="1"/>
    <col min="2303" max="2553" width="8.88671875" style="31"/>
    <col min="2554" max="2554" width="18.88671875" style="31" customWidth="1"/>
    <col min="2555" max="2555" width="89.44140625" style="31" bestFit="1" customWidth="1"/>
    <col min="2556" max="2556" width="8.88671875" style="31"/>
    <col min="2557" max="2558" width="0" style="31" hidden="1" customWidth="1"/>
    <col min="2559" max="2809" width="8.88671875" style="31"/>
    <col min="2810" max="2810" width="18.88671875" style="31" customWidth="1"/>
    <col min="2811" max="2811" width="89.44140625" style="31" bestFit="1" customWidth="1"/>
    <col min="2812" max="2812" width="8.88671875" style="31"/>
    <col min="2813" max="2814" width="0" style="31" hidden="1" customWidth="1"/>
    <col min="2815" max="3065" width="8.88671875" style="31"/>
    <col min="3066" max="3066" width="18.88671875" style="31" customWidth="1"/>
    <col min="3067" max="3067" width="89.44140625" style="31" bestFit="1" customWidth="1"/>
    <col min="3068" max="3068" width="8.88671875" style="31"/>
    <col min="3069" max="3070" width="0" style="31" hidden="1" customWidth="1"/>
    <col min="3071" max="3321" width="8.88671875" style="31"/>
    <col min="3322" max="3322" width="18.88671875" style="31" customWidth="1"/>
    <col min="3323" max="3323" width="89.44140625" style="31" bestFit="1" customWidth="1"/>
    <col min="3324" max="3324" width="8.88671875" style="31"/>
    <col min="3325" max="3326" width="0" style="31" hidden="1" customWidth="1"/>
    <col min="3327" max="3577" width="8.88671875" style="31"/>
    <col min="3578" max="3578" width="18.88671875" style="31" customWidth="1"/>
    <col min="3579" max="3579" width="89.44140625" style="31" bestFit="1" customWidth="1"/>
    <col min="3580" max="3580" width="8.88671875" style="31"/>
    <col min="3581" max="3582" width="0" style="31" hidden="1" customWidth="1"/>
    <col min="3583" max="3833" width="8.88671875" style="31"/>
    <col min="3834" max="3834" width="18.88671875" style="31" customWidth="1"/>
    <col min="3835" max="3835" width="89.44140625" style="31" bestFit="1" customWidth="1"/>
    <col min="3836" max="3836" width="8.88671875" style="31"/>
    <col min="3837" max="3838" width="0" style="31" hidden="1" customWidth="1"/>
    <col min="3839" max="4089" width="8.88671875" style="31"/>
    <col min="4090" max="4090" width="18.88671875" style="31" customWidth="1"/>
    <col min="4091" max="4091" width="89.44140625" style="31" bestFit="1" customWidth="1"/>
    <col min="4092" max="4092" width="8.88671875" style="31"/>
    <col min="4093" max="4094" width="0" style="31" hidden="1" customWidth="1"/>
    <col min="4095" max="4345" width="8.88671875" style="31"/>
    <col min="4346" max="4346" width="18.88671875" style="31" customWidth="1"/>
    <col min="4347" max="4347" width="89.44140625" style="31" bestFit="1" customWidth="1"/>
    <col min="4348" max="4348" width="8.88671875" style="31"/>
    <col min="4349" max="4350" width="0" style="31" hidden="1" customWidth="1"/>
    <col min="4351" max="4601" width="8.88671875" style="31"/>
    <col min="4602" max="4602" width="18.88671875" style="31" customWidth="1"/>
    <col min="4603" max="4603" width="89.44140625" style="31" bestFit="1" customWidth="1"/>
    <col min="4604" max="4604" width="8.88671875" style="31"/>
    <col min="4605" max="4606" width="0" style="31" hidden="1" customWidth="1"/>
    <col min="4607" max="4857" width="8.88671875" style="31"/>
    <col min="4858" max="4858" width="18.88671875" style="31" customWidth="1"/>
    <col min="4859" max="4859" width="89.44140625" style="31" bestFit="1" customWidth="1"/>
    <col min="4860" max="4860" width="8.88671875" style="31"/>
    <col min="4861" max="4862" width="0" style="31" hidden="1" customWidth="1"/>
    <col min="4863" max="5113" width="8.88671875" style="31"/>
    <col min="5114" max="5114" width="18.88671875" style="31" customWidth="1"/>
    <col min="5115" max="5115" width="89.44140625" style="31" bestFit="1" customWidth="1"/>
    <col min="5116" max="5116" width="8.88671875" style="31"/>
    <col min="5117" max="5118" width="0" style="31" hidden="1" customWidth="1"/>
    <col min="5119" max="5369" width="8.88671875" style="31"/>
    <col min="5370" max="5370" width="18.88671875" style="31" customWidth="1"/>
    <col min="5371" max="5371" width="89.44140625" style="31" bestFit="1" customWidth="1"/>
    <col min="5372" max="5372" width="8.88671875" style="31"/>
    <col min="5373" max="5374" width="0" style="31" hidden="1" customWidth="1"/>
    <col min="5375" max="5625" width="8.88671875" style="31"/>
    <col min="5626" max="5626" width="18.88671875" style="31" customWidth="1"/>
    <col min="5627" max="5627" width="89.44140625" style="31" bestFit="1" customWidth="1"/>
    <col min="5628" max="5628" width="8.88671875" style="31"/>
    <col min="5629" max="5630" width="0" style="31" hidden="1" customWidth="1"/>
    <col min="5631" max="5881" width="8.88671875" style="31"/>
    <col min="5882" max="5882" width="18.88671875" style="31" customWidth="1"/>
    <col min="5883" max="5883" width="89.44140625" style="31" bestFit="1" customWidth="1"/>
    <col min="5884" max="5884" width="8.88671875" style="31"/>
    <col min="5885" max="5886" width="0" style="31" hidden="1" customWidth="1"/>
    <col min="5887" max="6137" width="8.88671875" style="31"/>
    <col min="6138" max="6138" width="18.88671875" style="31" customWidth="1"/>
    <col min="6139" max="6139" width="89.44140625" style="31" bestFit="1" customWidth="1"/>
    <col min="6140" max="6140" width="8.88671875" style="31"/>
    <col min="6141" max="6142" width="0" style="31" hidden="1" customWidth="1"/>
    <col min="6143" max="6393" width="8.88671875" style="31"/>
    <col min="6394" max="6394" width="18.88671875" style="31" customWidth="1"/>
    <col min="6395" max="6395" width="89.44140625" style="31" bestFit="1" customWidth="1"/>
    <col min="6396" max="6396" width="8.88671875" style="31"/>
    <col min="6397" max="6398" width="0" style="31" hidden="1" customWidth="1"/>
    <col min="6399" max="6649" width="8.88671875" style="31"/>
    <col min="6650" max="6650" width="18.88671875" style="31" customWidth="1"/>
    <col min="6651" max="6651" width="89.44140625" style="31" bestFit="1" customWidth="1"/>
    <col min="6652" max="6652" width="8.88671875" style="31"/>
    <col min="6653" max="6654" width="0" style="31" hidden="1" customWidth="1"/>
    <col min="6655" max="6905" width="8.88671875" style="31"/>
    <col min="6906" max="6906" width="18.88671875" style="31" customWidth="1"/>
    <col min="6907" max="6907" width="89.44140625" style="31" bestFit="1" customWidth="1"/>
    <col min="6908" max="6908" width="8.88671875" style="31"/>
    <col min="6909" max="6910" width="0" style="31" hidden="1" customWidth="1"/>
    <col min="6911" max="7161" width="8.88671875" style="31"/>
    <col min="7162" max="7162" width="18.88671875" style="31" customWidth="1"/>
    <col min="7163" max="7163" width="89.44140625" style="31" bestFit="1" customWidth="1"/>
    <col min="7164" max="7164" width="8.88671875" style="31"/>
    <col min="7165" max="7166" width="0" style="31" hidden="1" customWidth="1"/>
    <col min="7167" max="7417" width="8.88671875" style="31"/>
    <col min="7418" max="7418" width="18.88671875" style="31" customWidth="1"/>
    <col min="7419" max="7419" width="89.44140625" style="31" bestFit="1" customWidth="1"/>
    <col min="7420" max="7420" width="8.88671875" style="31"/>
    <col min="7421" max="7422" width="0" style="31" hidden="1" customWidth="1"/>
    <col min="7423" max="7673" width="8.88671875" style="31"/>
    <col min="7674" max="7674" width="18.88671875" style="31" customWidth="1"/>
    <col min="7675" max="7675" width="89.44140625" style="31" bestFit="1" customWidth="1"/>
    <col min="7676" max="7676" width="8.88671875" style="31"/>
    <col min="7677" max="7678" width="0" style="31" hidden="1" customWidth="1"/>
    <col min="7679" max="7929" width="8.88671875" style="31"/>
    <col min="7930" max="7930" width="18.88671875" style="31" customWidth="1"/>
    <col min="7931" max="7931" width="89.44140625" style="31" bestFit="1" customWidth="1"/>
    <col min="7932" max="7932" width="8.88671875" style="31"/>
    <col min="7933" max="7934" width="0" style="31" hidden="1" customWidth="1"/>
    <col min="7935" max="8185" width="8.88671875" style="31"/>
    <col min="8186" max="8186" width="18.88671875" style="31" customWidth="1"/>
    <col min="8187" max="8187" width="89.44140625" style="31" bestFit="1" customWidth="1"/>
    <col min="8188" max="8188" width="8.88671875" style="31"/>
    <col min="8189" max="8190" width="0" style="31" hidden="1" customWidth="1"/>
    <col min="8191" max="8441" width="8.88671875" style="31"/>
    <col min="8442" max="8442" width="18.88671875" style="31" customWidth="1"/>
    <col min="8443" max="8443" width="89.44140625" style="31" bestFit="1" customWidth="1"/>
    <col min="8444" max="8444" width="8.88671875" style="31"/>
    <col min="8445" max="8446" width="0" style="31" hidden="1" customWidth="1"/>
    <col min="8447" max="8697" width="8.88671875" style="31"/>
    <col min="8698" max="8698" width="18.88671875" style="31" customWidth="1"/>
    <col min="8699" max="8699" width="89.44140625" style="31" bestFit="1" customWidth="1"/>
    <col min="8700" max="8700" width="8.88671875" style="31"/>
    <col min="8701" max="8702" width="0" style="31" hidden="1" customWidth="1"/>
    <col min="8703" max="8953" width="8.88671875" style="31"/>
    <col min="8954" max="8954" width="18.88671875" style="31" customWidth="1"/>
    <col min="8955" max="8955" width="89.44140625" style="31" bestFit="1" customWidth="1"/>
    <col min="8956" max="8956" width="8.88671875" style="31"/>
    <col min="8957" max="8958" width="0" style="31" hidden="1" customWidth="1"/>
    <col min="8959" max="9209" width="8.88671875" style="31"/>
    <col min="9210" max="9210" width="18.88671875" style="31" customWidth="1"/>
    <col min="9211" max="9211" width="89.44140625" style="31" bestFit="1" customWidth="1"/>
    <col min="9212" max="9212" width="8.88671875" style="31"/>
    <col min="9213" max="9214" width="0" style="31" hidden="1" customWidth="1"/>
    <col min="9215" max="9465" width="8.88671875" style="31"/>
    <col min="9466" max="9466" width="18.88671875" style="31" customWidth="1"/>
    <col min="9467" max="9467" width="89.44140625" style="31" bestFit="1" customWidth="1"/>
    <col min="9468" max="9468" width="8.88671875" style="31"/>
    <col min="9469" max="9470" width="0" style="31" hidden="1" customWidth="1"/>
    <col min="9471" max="9721" width="8.88671875" style="31"/>
    <col min="9722" max="9722" width="18.88671875" style="31" customWidth="1"/>
    <col min="9723" max="9723" width="89.44140625" style="31" bestFit="1" customWidth="1"/>
    <col min="9724" max="9724" width="8.88671875" style="31"/>
    <col min="9725" max="9726" width="0" style="31" hidden="1" customWidth="1"/>
    <col min="9727" max="9977" width="8.88671875" style="31"/>
    <col min="9978" max="9978" width="18.88671875" style="31" customWidth="1"/>
    <col min="9979" max="9979" width="89.44140625" style="31" bestFit="1" customWidth="1"/>
    <col min="9980" max="9980" width="8.88671875" style="31"/>
    <col min="9981" max="9982" width="0" style="31" hidden="1" customWidth="1"/>
    <col min="9983" max="10233" width="8.88671875" style="31"/>
    <col min="10234" max="10234" width="18.88671875" style="31" customWidth="1"/>
    <col min="10235" max="10235" width="89.44140625" style="31" bestFit="1" customWidth="1"/>
    <col min="10236" max="10236" width="8.88671875" style="31"/>
    <col min="10237" max="10238" width="0" style="31" hidden="1" customWidth="1"/>
    <col min="10239" max="10489" width="8.88671875" style="31"/>
    <col min="10490" max="10490" width="18.88671875" style="31" customWidth="1"/>
    <col min="10491" max="10491" width="89.44140625" style="31" bestFit="1" customWidth="1"/>
    <col min="10492" max="10492" width="8.88671875" style="31"/>
    <col min="10493" max="10494" width="0" style="31" hidden="1" customWidth="1"/>
    <col min="10495" max="10745" width="8.88671875" style="31"/>
    <col min="10746" max="10746" width="18.88671875" style="31" customWidth="1"/>
    <col min="10747" max="10747" width="89.44140625" style="31" bestFit="1" customWidth="1"/>
    <col min="10748" max="10748" width="8.88671875" style="31"/>
    <col min="10749" max="10750" width="0" style="31" hidden="1" customWidth="1"/>
    <col min="10751" max="11001" width="8.88671875" style="31"/>
    <col min="11002" max="11002" width="18.88671875" style="31" customWidth="1"/>
    <col min="11003" max="11003" width="89.44140625" style="31" bestFit="1" customWidth="1"/>
    <col min="11004" max="11004" width="8.88671875" style="31"/>
    <col min="11005" max="11006" width="0" style="31" hidden="1" customWidth="1"/>
    <col min="11007" max="11257" width="8.88671875" style="31"/>
    <col min="11258" max="11258" width="18.88671875" style="31" customWidth="1"/>
    <col min="11259" max="11259" width="89.44140625" style="31" bestFit="1" customWidth="1"/>
    <col min="11260" max="11260" width="8.88671875" style="31"/>
    <col min="11261" max="11262" width="0" style="31" hidden="1" customWidth="1"/>
    <col min="11263" max="11513" width="8.88671875" style="31"/>
    <col min="11514" max="11514" width="18.88671875" style="31" customWidth="1"/>
    <col min="11515" max="11515" width="89.44140625" style="31" bestFit="1" customWidth="1"/>
    <col min="11516" max="11516" width="8.88671875" style="31"/>
    <col min="11517" max="11518" width="0" style="31" hidden="1" customWidth="1"/>
    <col min="11519" max="11769" width="8.88671875" style="31"/>
    <col min="11770" max="11770" width="18.88671875" style="31" customWidth="1"/>
    <col min="11771" max="11771" width="89.44140625" style="31" bestFit="1" customWidth="1"/>
    <col min="11772" max="11772" width="8.88671875" style="31"/>
    <col min="11773" max="11774" width="0" style="31" hidden="1" customWidth="1"/>
    <col min="11775" max="12025" width="8.88671875" style="31"/>
    <col min="12026" max="12026" width="18.88671875" style="31" customWidth="1"/>
    <col min="12027" max="12027" width="89.44140625" style="31" bestFit="1" customWidth="1"/>
    <col min="12028" max="12028" width="8.88671875" style="31"/>
    <col min="12029" max="12030" width="0" style="31" hidden="1" customWidth="1"/>
    <col min="12031" max="12281" width="8.88671875" style="31"/>
    <col min="12282" max="12282" width="18.88671875" style="31" customWidth="1"/>
    <col min="12283" max="12283" width="89.44140625" style="31" bestFit="1" customWidth="1"/>
    <col min="12284" max="12284" width="8.88671875" style="31"/>
    <col min="12285" max="12286" width="0" style="31" hidden="1" customWidth="1"/>
    <col min="12287" max="12537" width="8.88671875" style="31"/>
    <col min="12538" max="12538" width="18.88671875" style="31" customWidth="1"/>
    <col min="12539" max="12539" width="89.44140625" style="31" bestFit="1" customWidth="1"/>
    <col min="12540" max="12540" width="8.88671875" style="31"/>
    <col min="12541" max="12542" width="0" style="31" hidden="1" customWidth="1"/>
    <col min="12543" max="12793" width="8.88671875" style="31"/>
    <col min="12794" max="12794" width="18.88671875" style="31" customWidth="1"/>
    <col min="12795" max="12795" width="89.44140625" style="31" bestFit="1" customWidth="1"/>
    <col min="12796" max="12796" width="8.88671875" style="31"/>
    <col min="12797" max="12798" width="0" style="31" hidden="1" customWidth="1"/>
    <col min="12799" max="13049" width="8.88671875" style="31"/>
    <col min="13050" max="13050" width="18.88671875" style="31" customWidth="1"/>
    <col min="13051" max="13051" width="89.44140625" style="31" bestFit="1" customWidth="1"/>
    <col min="13052" max="13052" width="8.88671875" style="31"/>
    <col min="13053" max="13054" width="0" style="31" hidden="1" customWidth="1"/>
    <col min="13055" max="13305" width="8.88671875" style="31"/>
    <col min="13306" max="13306" width="18.88671875" style="31" customWidth="1"/>
    <col min="13307" max="13307" width="89.44140625" style="31" bestFit="1" customWidth="1"/>
    <col min="13308" max="13308" width="8.88671875" style="31"/>
    <col min="13309" max="13310" width="0" style="31" hidden="1" customWidth="1"/>
    <col min="13311" max="13561" width="8.88671875" style="31"/>
    <col min="13562" max="13562" width="18.88671875" style="31" customWidth="1"/>
    <col min="13563" max="13563" width="89.44140625" style="31" bestFit="1" customWidth="1"/>
    <col min="13564" max="13564" width="8.88671875" style="31"/>
    <col min="13565" max="13566" width="0" style="31" hidden="1" customWidth="1"/>
    <col min="13567" max="13817" width="8.88671875" style="31"/>
    <col min="13818" max="13818" width="18.88671875" style="31" customWidth="1"/>
    <col min="13819" max="13819" width="89.44140625" style="31" bestFit="1" customWidth="1"/>
    <col min="13820" max="13820" width="8.88671875" style="31"/>
    <col min="13821" max="13822" width="0" style="31" hidden="1" customWidth="1"/>
    <col min="13823" max="14073" width="8.88671875" style="31"/>
    <col min="14074" max="14074" width="18.88671875" style="31" customWidth="1"/>
    <col min="14075" max="14075" width="89.44140625" style="31" bestFit="1" customWidth="1"/>
    <col min="14076" max="14076" width="8.88671875" style="31"/>
    <col min="14077" max="14078" width="0" style="31" hidden="1" customWidth="1"/>
    <col min="14079" max="14329" width="8.88671875" style="31"/>
    <col min="14330" max="14330" width="18.88671875" style="31" customWidth="1"/>
    <col min="14331" max="14331" width="89.44140625" style="31" bestFit="1" customWidth="1"/>
    <col min="14332" max="14332" width="8.88671875" style="31"/>
    <col min="14333" max="14334" width="0" style="31" hidden="1" customWidth="1"/>
    <col min="14335" max="14585" width="8.88671875" style="31"/>
    <col min="14586" max="14586" width="18.88671875" style="31" customWidth="1"/>
    <col min="14587" max="14587" width="89.44140625" style="31" bestFit="1" customWidth="1"/>
    <col min="14588" max="14588" width="8.88671875" style="31"/>
    <col min="14589" max="14590" width="0" style="31" hidden="1" customWidth="1"/>
    <col min="14591" max="14841" width="8.88671875" style="31"/>
    <col min="14842" max="14842" width="18.88671875" style="31" customWidth="1"/>
    <col min="14843" max="14843" width="89.44140625" style="31" bestFit="1" customWidth="1"/>
    <col min="14844" max="14844" width="8.88671875" style="31"/>
    <col min="14845" max="14846" width="0" style="31" hidden="1" customWidth="1"/>
    <col min="14847" max="15097" width="8.88671875" style="31"/>
    <col min="15098" max="15098" width="18.88671875" style="31" customWidth="1"/>
    <col min="15099" max="15099" width="89.44140625" style="31" bestFit="1" customWidth="1"/>
    <col min="15100" max="15100" width="8.88671875" style="31"/>
    <col min="15101" max="15102" width="0" style="31" hidden="1" customWidth="1"/>
    <col min="15103" max="15353" width="8.88671875" style="31"/>
    <col min="15354" max="15354" width="18.88671875" style="31" customWidth="1"/>
    <col min="15355" max="15355" width="89.44140625" style="31" bestFit="1" customWidth="1"/>
    <col min="15356" max="15356" width="8.88671875" style="31"/>
    <col min="15357" max="15358" width="0" style="31" hidden="1" customWidth="1"/>
    <col min="15359" max="15609" width="8.88671875" style="31"/>
    <col min="15610" max="15610" width="18.88671875" style="31" customWidth="1"/>
    <col min="15611" max="15611" width="89.44140625" style="31" bestFit="1" customWidth="1"/>
    <col min="15612" max="15612" width="8.88671875" style="31"/>
    <col min="15613" max="15614" width="0" style="31" hidden="1" customWidth="1"/>
    <col min="15615" max="15865" width="8.88671875" style="31"/>
    <col min="15866" max="15866" width="18.88671875" style="31" customWidth="1"/>
    <col min="15867" max="15867" width="89.44140625" style="31" bestFit="1" customWidth="1"/>
    <col min="15868" max="15868" width="8.88671875" style="31"/>
    <col min="15869" max="15870" width="0" style="31" hidden="1" customWidth="1"/>
    <col min="15871" max="16121" width="8.88671875" style="31"/>
    <col min="16122" max="16122" width="18.88671875" style="31" customWidth="1"/>
    <col min="16123" max="16123" width="89.44140625" style="31" bestFit="1" customWidth="1"/>
    <col min="16124" max="16124" width="8.88671875" style="31"/>
    <col min="16125" max="16126" width="0" style="31" hidden="1" customWidth="1"/>
    <col min="16127" max="16384" width="8.88671875" style="31"/>
  </cols>
  <sheetData>
    <row r="1" spans="1:6" ht="39">
      <c r="A1" s="263" t="s">
        <v>238</v>
      </c>
      <c r="B1" s="263"/>
      <c r="C1" s="263"/>
      <c r="D1" s="263"/>
    </row>
    <row r="2" spans="1:6" ht="16.8" thickBot="1">
      <c r="A2" s="33" t="s">
        <v>0</v>
      </c>
      <c r="B2" s="33" t="s">
        <v>25</v>
      </c>
      <c r="C2" s="34" t="s">
        <v>26</v>
      </c>
      <c r="D2" s="33" t="s">
        <v>27</v>
      </c>
    </row>
    <row r="3" spans="1:6">
      <c r="A3" s="35">
        <v>44986</v>
      </c>
      <c r="B3" s="36" t="str">
        <f>葷!C8</f>
        <v>糙米飯</v>
      </c>
      <c r="C3" s="37" t="s">
        <v>251</v>
      </c>
      <c r="D3" s="38" t="s">
        <v>130</v>
      </c>
      <c r="E3" s="31">
        <f>80*0.06</f>
        <v>4.8</v>
      </c>
    </row>
    <row r="4" spans="1:6">
      <c r="A4" s="39">
        <f>A3</f>
        <v>44986</v>
      </c>
      <c r="B4" s="40" t="str">
        <f>葷!D8</f>
        <v>山藥紅棗燉雞</v>
      </c>
      <c r="C4" s="44" t="s">
        <v>94</v>
      </c>
      <c r="D4" s="54" t="s">
        <v>258</v>
      </c>
      <c r="E4" s="31">
        <f>(70*0.03)+(18*0.04)+(12*0.19)+(5*0.31)+(5*7.55)+(10*9.12)</f>
        <v>135.6</v>
      </c>
    </row>
    <row r="5" spans="1:6">
      <c r="A5" s="43"/>
      <c r="B5" s="40" t="str">
        <f>葷!E8</f>
        <v>鍋燒豆腐</v>
      </c>
      <c r="C5" s="44" t="s">
        <v>252</v>
      </c>
      <c r="D5" s="38" t="s">
        <v>257</v>
      </c>
      <c r="E5" s="31">
        <f>(12*0.87)+(38*0.27)+(20*2.16)+(3*0.5)+(1.5*0.5)</f>
        <v>66.150000000000006</v>
      </c>
    </row>
    <row r="6" spans="1:6">
      <c r="A6" s="45"/>
      <c r="B6" s="46" t="str">
        <f>葷!F8</f>
        <v>蒜香小白菜</v>
      </c>
      <c r="C6" s="56" t="s">
        <v>147</v>
      </c>
      <c r="D6" s="107" t="s">
        <v>132</v>
      </c>
    </row>
    <row r="7" spans="1:6" ht="16.8" thickBot="1">
      <c r="A7" s="48"/>
      <c r="B7" s="49" t="str">
        <f>葷!G8</f>
        <v>紅麵線湯</v>
      </c>
      <c r="C7" s="50" t="s">
        <v>95</v>
      </c>
      <c r="D7" s="51" t="s">
        <v>133</v>
      </c>
      <c r="E7" s="31">
        <f>(3*10.73)</f>
        <v>32.19</v>
      </c>
      <c r="F7" s="32">
        <f>SUM(E3:E7)+11</f>
        <v>249.74</v>
      </c>
    </row>
    <row r="8" spans="1:6">
      <c r="A8" s="35">
        <v>44987</v>
      </c>
      <c r="B8" s="36" t="str">
        <f>葷!C9</f>
        <v>有機白米飯</v>
      </c>
      <c r="C8" s="37" t="s">
        <v>91</v>
      </c>
      <c r="D8" s="38" t="s">
        <v>130</v>
      </c>
      <c r="E8" s="31">
        <f>80*0.06</f>
        <v>4.8</v>
      </c>
    </row>
    <row r="9" spans="1:6">
      <c r="A9" s="39">
        <f>A8</f>
        <v>44987</v>
      </c>
      <c r="B9" s="40" t="str">
        <f>葷!D9</f>
        <v>BBQ醬燴炸魚片X1</v>
      </c>
      <c r="C9" s="44" t="s">
        <v>253</v>
      </c>
      <c r="D9" s="54" t="s">
        <v>254</v>
      </c>
      <c r="E9" s="31">
        <f>(70*0.03)+(18*0.04)+(12*0.19)+(5*0.31)+(5*7.55)+(10*9.12)</f>
        <v>135.6</v>
      </c>
    </row>
    <row r="10" spans="1:6">
      <c r="A10" s="43"/>
      <c r="B10" s="40" t="str">
        <f>葷!E9</f>
        <v>＊洋蔥炒蛋</v>
      </c>
      <c r="C10" s="44" t="s">
        <v>255</v>
      </c>
      <c r="D10" s="38" t="s">
        <v>136</v>
      </c>
      <c r="E10" s="31">
        <f>(12*0.87)+(38*0.27)+(20*2.16)+(3*0.5)+(1.5*0.5)</f>
        <v>66.150000000000006</v>
      </c>
    </row>
    <row r="11" spans="1:6">
      <c r="A11" s="45"/>
      <c r="B11" s="46" t="str">
        <f>葷!F9</f>
        <v>北農有機青菜</v>
      </c>
      <c r="C11" s="56" t="s">
        <v>93</v>
      </c>
      <c r="D11" s="107" t="s">
        <v>132</v>
      </c>
    </row>
    <row r="12" spans="1:6" ht="16.8" thickBot="1">
      <c r="A12" s="48"/>
      <c r="B12" s="49" t="str">
        <f>葷!G9</f>
        <v>(熱)地瓜芋頭甜湯</v>
      </c>
      <c r="C12" s="50" t="s">
        <v>256</v>
      </c>
      <c r="D12" s="51" t="s">
        <v>133</v>
      </c>
      <c r="E12" s="31">
        <f>(3*10.73)</f>
        <v>32.19</v>
      </c>
      <c r="F12" s="32">
        <f>SUM(E8:E12)+11</f>
        <v>249.74</v>
      </c>
    </row>
    <row r="13" spans="1:6">
      <c r="A13" s="35">
        <v>44988</v>
      </c>
      <c r="B13" s="36" t="s">
        <v>259</v>
      </c>
      <c r="C13" s="57" t="s">
        <v>260</v>
      </c>
      <c r="D13" s="38" t="s">
        <v>137</v>
      </c>
      <c r="E13" s="31">
        <f>(70*0.06)+(5*0.03)+(12*1.79)+(1*1.07)+(5*0.31)+3.16</f>
        <v>31.610000000000003</v>
      </c>
    </row>
    <row r="14" spans="1:6">
      <c r="A14" s="39">
        <f>A13</f>
        <v>44988</v>
      </c>
      <c r="B14" s="40" t="s">
        <v>263</v>
      </c>
      <c r="C14" s="58" t="s">
        <v>261</v>
      </c>
      <c r="D14" s="42" t="s">
        <v>135</v>
      </c>
      <c r="E14" s="31">
        <f>(45*4.4)</f>
        <v>198.00000000000003</v>
      </c>
    </row>
    <row r="15" spans="1:6">
      <c r="A15" s="43"/>
      <c r="B15" s="55" t="s">
        <v>262</v>
      </c>
      <c r="C15" s="41" t="s">
        <v>264</v>
      </c>
      <c r="D15" s="42" t="s">
        <v>132</v>
      </c>
      <c r="E15" s="31">
        <f>(78*0.83)+(2*0.03)</f>
        <v>64.8</v>
      </c>
    </row>
    <row r="16" spans="1:6" ht="16.8" thickBot="1">
      <c r="A16" s="48"/>
      <c r="B16" s="49" t="s">
        <v>265</v>
      </c>
      <c r="C16" s="53" t="s">
        <v>266</v>
      </c>
      <c r="D16" s="51" t="s">
        <v>133</v>
      </c>
      <c r="E16" s="31">
        <f>(15*2.11)+(12*0.51)+(3*0.27)+(2*0.47)+(0.5*0.5)</f>
        <v>39.769999999999996</v>
      </c>
      <c r="F16" s="32">
        <f>SUM(E13:E16)+11</f>
        <v>345.18</v>
      </c>
    </row>
    <row r="17" spans="1:6">
      <c r="A17" s="35">
        <v>44991</v>
      </c>
      <c r="B17" s="36" t="str">
        <f>葷!C11</f>
        <v>毛豆仁紅藜飯</v>
      </c>
      <c r="C17" s="37" t="s">
        <v>96</v>
      </c>
      <c r="D17" s="38" t="s">
        <v>130</v>
      </c>
      <c r="E17" s="31">
        <v>6.3</v>
      </c>
    </row>
    <row r="18" spans="1:6">
      <c r="A18" s="39">
        <f>A17</f>
        <v>44991</v>
      </c>
      <c r="B18" s="40" t="str">
        <f>葷!D11</f>
        <v>＊奶油菇菇炒蛋</v>
      </c>
      <c r="C18" s="44" t="s">
        <v>267</v>
      </c>
      <c r="D18" s="42" t="s">
        <v>136</v>
      </c>
      <c r="E18" s="31">
        <f>(68*0.03)+(22*0.19)+(10*0.07)+(1*0.07)</f>
        <v>6.99</v>
      </c>
    </row>
    <row r="19" spans="1:6">
      <c r="A19" s="43"/>
      <c r="B19" s="40" t="str">
        <f>葷!E11</f>
        <v>黑輪筑前煮</v>
      </c>
      <c r="C19" s="44" t="s">
        <v>268</v>
      </c>
      <c r="D19" s="42" t="s">
        <v>133</v>
      </c>
      <c r="E19" s="31">
        <f>(40*0.49)+(12*0.5)+(8*0.12)+(5*0.27)+(2*0.31)</f>
        <v>28.530000000000005</v>
      </c>
    </row>
    <row r="20" spans="1:6">
      <c r="A20" s="43"/>
      <c r="B20" s="40" t="str">
        <f>葷!F11</f>
        <v>北農有機青菜</v>
      </c>
      <c r="C20" s="44" t="s">
        <v>93</v>
      </c>
      <c r="D20" s="42" t="s">
        <v>132</v>
      </c>
      <c r="E20" s="31">
        <f>(56*1)</f>
        <v>56</v>
      </c>
    </row>
    <row r="21" spans="1:6" ht="16.8" thickBot="1">
      <c r="A21" s="48"/>
      <c r="B21" s="49" t="str">
        <f>葷!G11</f>
        <v>小魚豆腐湯</v>
      </c>
      <c r="C21" s="53" t="s">
        <v>269</v>
      </c>
      <c r="D21" s="51" t="s">
        <v>133</v>
      </c>
      <c r="E21" s="31">
        <f>(28*1.03)+(6*0.47)</f>
        <v>31.66</v>
      </c>
      <c r="F21" s="32">
        <f>SUM(E17:E21)+11</f>
        <v>140.48000000000002</v>
      </c>
    </row>
    <row r="22" spans="1:6">
      <c r="A22" s="35">
        <v>44992</v>
      </c>
      <c r="B22" s="36" t="str">
        <f>葷!C12</f>
        <v>有機白米飯</v>
      </c>
      <c r="C22" s="37" t="s">
        <v>91</v>
      </c>
      <c r="D22" s="38" t="s">
        <v>130</v>
      </c>
      <c r="E22" s="31">
        <f>(80*0.06)+(0.2*17.57)</f>
        <v>8.3140000000000001</v>
      </c>
    </row>
    <row r="23" spans="1:6">
      <c r="A23" s="39">
        <f>A22</f>
        <v>44992</v>
      </c>
      <c r="B23" s="55" t="str">
        <f>葷!D12</f>
        <v>醬油冬瓜燒雞</v>
      </c>
      <c r="C23" s="44" t="s">
        <v>270</v>
      </c>
      <c r="D23" s="42" t="s">
        <v>135</v>
      </c>
      <c r="E23" s="31">
        <f>(55*0.3)+(18*0.01)+(2*1.91)</f>
        <v>20.5</v>
      </c>
    </row>
    <row r="24" spans="1:6">
      <c r="A24" s="43"/>
      <c r="B24" s="40" t="str">
        <f>葷!E12</f>
        <v>芹香豆薯肉絲</v>
      </c>
      <c r="C24" s="44" t="s">
        <v>271</v>
      </c>
      <c r="D24" s="42" t="s">
        <v>133</v>
      </c>
      <c r="E24" s="31">
        <f>(43*0.47)+(3*0.03)</f>
        <v>20.299999999999997</v>
      </c>
    </row>
    <row r="25" spans="1:6">
      <c r="A25" s="45"/>
      <c r="B25" s="46" t="str">
        <f>葷!F12</f>
        <v>北農有機青菜</v>
      </c>
      <c r="C25" s="56" t="s">
        <v>93</v>
      </c>
      <c r="D25" s="47" t="s">
        <v>132</v>
      </c>
    </row>
    <row r="26" spans="1:6" ht="16.8" thickBot="1">
      <c r="A26" s="48"/>
      <c r="B26" s="61" t="str">
        <f>葷!G12</f>
        <v>四神湯</v>
      </c>
      <c r="C26" s="50" t="s">
        <v>272</v>
      </c>
      <c r="D26" s="51" t="s">
        <v>133</v>
      </c>
      <c r="E26" s="31">
        <f>(70*1.03)</f>
        <v>72.100000000000009</v>
      </c>
    </row>
    <row r="27" spans="1:6">
      <c r="A27" s="35">
        <v>44993</v>
      </c>
      <c r="B27" s="36" t="str">
        <f>葷!C13</f>
        <v>麥片飯</v>
      </c>
      <c r="C27" s="37" t="s">
        <v>273</v>
      </c>
      <c r="D27" s="38" t="s">
        <v>130</v>
      </c>
      <c r="E27" s="31">
        <v>5.2</v>
      </c>
    </row>
    <row r="28" spans="1:6">
      <c r="A28" s="39">
        <f>A27</f>
        <v>44993</v>
      </c>
      <c r="B28" s="40" t="str">
        <f>葷!D13</f>
        <v>醋溜鍋爆肉</v>
      </c>
      <c r="C28" s="44" t="s">
        <v>275</v>
      </c>
      <c r="D28" s="42" t="s">
        <v>135</v>
      </c>
      <c r="E28" s="31">
        <f>(70*0.09)+(15*0.19)+(18*0.14)</f>
        <v>11.670000000000002</v>
      </c>
    </row>
    <row r="29" spans="1:6">
      <c r="A29" s="43"/>
      <c r="B29" s="40" t="str">
        <f>葷!E13</f>
        <v>雪菜肉末干丁</v>
      </c>
      <c r="C29" s="59" t="s">
        <v>274</v>
      </c>
      <c r="D29" s="42" t="s">
        <v>136</v>
      </c>
      <c r="E29" s="31">
        <f>(80*0.51)+(2*0.03)+(3*0.02)+(15*9.12)</f>
        <v>177.71999999999997</v>
      </c>
    </row>
    <row r="30" spans="1:6">
      <c r="A30" s="45"/>
      <c r="B30" s="46" t="str">
        <f>葷!F13</f>
        <v>針菇芥蘭菜</v>
      </c>
      <c r="C30" s="60" t="s">
        <v>276</v>
      </c>
      <c r="D30" s="47" t="s">
        <v>132</v>
      </c>
      <c r="E30" s="31">
        <f>70*0.39</f>
        <v>27.3</v>
      </c>
    </row>
    <row r="31" spans="1:6" ht="16.8" thickBot="1">
      <c r="A31" s="48"/>
      <c r="B31" s="49" t="str">
        <f>葷!G13</f>
        <v>結頭菜湯</v>
      </c>
      <c r="C31" s="50" t="s">
        <v>277</v>
      </c>
      <c r="D31" s="51" t="s">
        <v>133</v>
      </c>
      <c r="E31" s="31">
        <f>(12*0.5)+(2*0.31)+(5*0.02)+(2*0.27)+(0.3*1.07)</f>
        <v>7.5809999999999995</v>
      </c>
      <c r="F31" s="32">
        <f>SUM(E27:E31)+110</f>
        <v>339.471</v>
      </c>
    </row>
    <row r="32" spans="1:6">
      <c r="A32" s="35">
        <v>44994</v>
      </c>
      <c r="B32" s="36" t="s">
        <v>278</v>
      </c>
      <c r="C32" s="37" t="s">
        <v>279</v>
      </c>
      <c r="D32" s="38" t="s">
        <v>134</v>
      </c>
      <c r="E32" s="31">
        <f>(70*0.06)+(10*0.95)</f>
        <v>13.7</v>
      </c>
    </row>
    <row r="33" spans="1:6">
      <c r="A33" s="39">
        <f>A32</f>
        <v>44994</v>
      </c>
      <c r="B33" s="40" t="s">
        <v>81</v>
      </c>
      <c r="C33" s="44" t="s">
        <v>98</v>
      </c>
      <c r="D33" s="42" t="s">
        <v>139</v>
      </c>
      <c r="E33" s="31">
        <f>(45*0.12)+(28*1.4)</f>
        <v>44.599999999999994</v>
      </c>
    </row>
    <row r="34" spans="1:6">
      <c r="A34" s="43"/>
      <c r="B34" s="46" t="s">
        <v>229</v>
      </c>
      <c r="C34" s="44" t="s">
        <v>93</v>
      </c>
      <c r="D34" s="42" t="s">
        <v>132</v>
      </c>
      <c r="E34" s="31">
        <f>(50*0.17)+(5*0.27)+(3*0.31)</f>
        <v>10.78</v>
      </c>
    </row>
    <row r="35" spans="1:6" ht="16.8" thickBot="1">
      <c r="A35" s="48"/>
      <c r="B35" s="49" t="s">
        <v>280</v>
      </c>
      <c r="C35" s="50" t="s">
        <v>281</v>
      </c>
      <c r="D35" s="51" t="s">
        <v>133</v>
      </c>
      <c r="E35" s="31">
        <f>(25*0.27)+(8*0.31)+(0.8*10)</f>
        <v>17.23</v>
      </c>
      <c r="F35" s="32">
        <f>SUM(E32:E35)+11</f>
        <v>97.31</v>
      </c>
    </row>
    <row r="36" spans="1:6">
      <c r="A36" s="35">
        <v>44995</v>
      </c>
      <c r="B36" s="36" t="str">
        <f>葷!C15</f>
        <v>小米有機米飯</v>
      </c>
      <c r="C36" s="37" t="s">
        <v>285</v>
      </c>
      <c r="D36" s="38" t="s">
        <v>130</v>
      </c>
      <c r="E36" s="31">
        <f>(70*0.06)+(10*0.4)</f>
        <v>8.1999999999999993</v>
      </c>
    </row>
    <row r="37" spans="1:6">
      <c r="A37" s="39">
        <f>A36</f>
        <v>44995</v>
      </c>
      <c r="B37" s="55" t="str">
        <f>葷!D15</f>
        <v>蔥燒雞腿排X1</v>
      </c>
      <c r="C37" s="44" t="s">
        <v>282</v>
      </c>
      <c r="D37" s="42" t="s">
        <v>135</v>
      </c>
      <c r="E37" s="31">
        <f>(70*0.09)+(12*0.38)+(8*0.31)+(1*1.07)+3.16</f>
        <v>17.57</v>
      </c>
    </row>
    <row r="38" spans="1:6">
      <c r="A38" s="43"/>
      <c r="B38" s="40" t="str">
        <f>葷!E15</f>
        <v>炸醬小炒豆干</v>
      </c>
      <c r="C38" s="44" t="s">
        <v>286</v>
      </c>
      <c r="D38" s="42" t="s">
        <v>136</v>
      </c>
      <c r="E38" s="31">
        <f>(50*0.06)+(15*0.79)+(2*0.51)+(3*0.47)+(2*0.31)+(2*0.05)</f>
        <v>18.000000000000004</v>
      </c>
    </row>
    <row r="39" spans="1:6">
      <c r="A39" s="45"/>
      <c r="B39" s="46" t="str">
        <f>葷!F15</f>
        <v>蒜酥菠菜</v>
      </c>
      <c r="C39" s="56" t="s">
        <v>283</v>
      </c>
      <c r="D39" s="47" t="s">
        <v>132</v>
      </c>
    </row>
    <row r="40" spans="1:6" ht="16.8" thickBot="1">
      <c r="A40" s="48"/>
      <c r="B40" s="61" t="str">
        <f>葷!G15</f>
        <v>＊紫菜蛋花湯</v>
      </c>
      <c r="C40" s="50" t="s">
        <v>284</v>
      </c>
      <c r="D40" s="51" t="s">
        <v>133</v>
      </c>
      <c r="E40" s="31">
        <f>(32*1.4)</f>
        <v>44.8</v>
      </c>
      <c r="F40" s="32">
        <f>SUM(E36:E40)+11</f>
        <v>99.57</v>
      </c>
    </row>
    <row r="41" spans="1:6">
      <c r="A41" s="119">
        <v>44998</v>
      </c>
      <c r="B41" s="120" t="str">
        <f>葷!C16</f>
        <v>海苔有機米飯</v>
      </c>
      <c r="C41" s="121" t="s">
        <v>287</v>
      </c>
      <c r="D41" s="122" t="s">
        <v>130</v>
      </c>
      <c r="E41" s="31">
        <v>4.7</v>
      </c>
    </row>
    <row r="42" spans="1:6">
      <c r="A42" s="123">
        <f>A41</f>
        <v>44998</v>
      </c>
      <c r="B42" s="124" t="str">
        <f>葷!D16</f>
        <v>日式壽喜燒肉片</v>
      </c>
      <c r="C42" s="125" t="s">
        <v>99</v>
      </c>
      <c r="D42" s="126" t="s">
        <v>135</v>
      </c>
      <c r="E42" s="31">
        <f>(68*0.03)+(18*0.12)+(8*0.14)</f>
        <v>5.32</v>
      </c>
    </row>
    <row r="43" spans="1:6">
      <c r="A43" s="127" t="s">
        <v>86</v>
      </c>
      <c r="B43" s="124" t="str">
        <f>葷!E16</f>
        <v>京都風關東煮</v>
      </c>
      <c r="C43" s="125" t="s">
        <v>100</v>
      </c>
      <c r="D43" s="128" t="s">
        <v>133</v>
      </c>
      <c r="E43" s="31">
        <f>(8*0.31)+(2*0.2)+(40*0.5)</f>
        <v>22.88</v>
      </c>
    </row>
    <row r="44" spans="1:6">
      <c r="A44" s="129"/>
      <c r="B44" s="130" t="str">
        <f>葷!F16</f>
        <v>北農有機青菜</v>
      </c>
      <c r="C44" s="131" t="s">
        <v>93</v>
      </c>
      <c r="D44" s="128" t="s">
        <v>132</v>
      </c>
      <c r="E44" s="31">
        <f>63*1.96</f>
        <v>123.48</v>
      </c>
    </row>
    <row r="45" spans="1:6" ht="16.8" thickBot="1">
      <c r="A45" s="132"/>
      <c r="B45" s="133" t="str">
        <f>葷!G16</f>
        <v>味噌豆腐湯</v>
      </c>
      <c r="C45" s="134" t="s">
        <v>101</v>
      </c>
      <c r="D45" s="135" t="s">
        <v>133</v>
      </c>
      <c r="E45" s="31">
        <f>(15*0.28)+(8*0.09)</f>
        <v>4.92</v>
      </c>
      <c r="F45" s="32">
        <f>SUM(E41:E45)+11</f>
        <v>172.29999999999998</v>
      </c>
    </row>
    <row r="46" spans="1:6">
      <c r="A46" s="119">
        <v>44999</v>
      </c>
      <c r="B46" s="120" t="s">
        <v>82</v>
      </c>
      <c r="C46" s="121" t="s">
        <v>294</v>
      </c>
      <c r="D46" s="122" t="s">
        <v>133</v>
      </c>
      <c r="E46" s="31">
        <f>(110*0.17)+(18*0.5)+(6*0.04)+(3*0.03)+(5*0.03)+(3*10)</f>
        <v>58.18</v>
      </c>
    </row>
    <row r="47" spans="1:6">
      <c r="A47" s="123">
        <f>A46</f>
        <v>44999</v>
      </c>
      <c r="B47" s="124" t="s">
        <v>290</v>
      </c>
      <c r="C47" s="125" t="s">
        <v>291</v>
      </c>
      <c r="D47" s="126" t="s">
        <v>258</v>
      </c>
      <c r="E47" s="31">
        <f>(70*0.09)+(28*0.051)+(5*0.31)+(5*0.03)+(2*0.51)+3.16</f>
        <v>13.608000000000001</v>
      </c>
    </row>
    <row r="48" spans="1:6">
      <c r="A48" s="127" t="s">
        <v>87</v>
      </c>
      <c r="B48" s="124" t="s">
        <v>229</v>
      </c>
      <c r="C48" s="138" t="s">
        <v>93</v>
      </c>
      <c r="D48" s="126" t="s">
        <v>132</v>
      </c>
      <c r="E48" s="31">
        <f>(53*0.69)+(18*0.87)+(2*0.07)</f>
        <v>52.370000000000005</v>
      </c>
    </row>
    <row r="49" spans="1:6" ht="16.8" thickBot="1">
      <c r="A49" s="132"/>
      <c r="B49" s="133" t="s">
        <v>83</v>
      </c>
      <c r="C49" s="139" t="s">
        <v>106</v>
      </c>
      <c r="D49" s="135" t="s">
        <v>133</v>
      </c>
      <c r="E49" s="31">
        <f>(30*0.04)+(6*0.31)+(5*0.43)</f>
        <v>5.2099999999999991</v>
      </c>
      <c r="F49" s="32">
        <f>SUM(E46:E49)+11</f>
        <v>140.36799999999999</v>
      </c>
    </row>
    <row r="50" spans="1:6">
      <c r="A50" s="119">
        <v>45000</v>
      </c>
      <c r="B50" s="120" t="str">
        <f>葷!C18</f>
        <v>＊薑黃芝麻飯</v>
      </c>
      <c r="C50" s="121" t="s">
        <v>102</v>
      </c>
      <c r="D50" s="122" t="s">
        <v>130</v>
      </c>
      <c r="E50" s="31">
        <f>80*0.06</f>
        <v>4.8</v>
      </c>
    </row>
    <row r="51" spans="1:6">
      <c r="A51" s="123">
        <f>A50</f>
        <v>45000</v>
      </c>
      <c r="B51" s="124" t="str">
        <f>葷!D18</f>
        <v>西班牙番茄燉肉</v>
      </c>
      <c r="C51" s="125" t="s">
        <v>292</v>
      </c>
      <c r="D51" s="126" t="s">
        <v>134</v>
      </c>
      <c r="E51" s="31">
        <f>(65*0.12)+(20*0.01)+(12*3.81)</f>
        <v>53.72</v>
      </c>
    </row>
    <row r="52" spans="1:6">
      <c r="A52" s="137" t="s">
        <v>88</v>
      </c>
      <c r="B52" s="130" t="str">
        <f>葷!E18</f>
        <v>＊馬鈴薯炒蛋</v>
      </c>
      <c r="C52" s="125" t="s">
        <v>110</v>
      </c>
      <c r="D52" s="126" t="s">
        <v>136</v>
      </c>
      <c r="E52" s="31">
        <f>(35*6.85)+(22*0.5)+(5*0.31)+(2*0.3)+(3*2.22)+(2*3.16)</f>
        <v>265.88</v>
      </c>
    </row>
    <row r="53" spans="1:6">
      <c r="A53" s="129"/>
      <c r="B53" s="130" t="str">
        <f>葷!F18</f>
        <v>紅絲青花菜</v>
      </c>
      <c r="C53" s="131" t="s">
        <v>148</v>
      </c>
      <c r="D53" s="128" t="s">
        <v>132</v>
      </c>
      <c r="E53" s="31">
        <f>(70)</f>
        <v>70</v>
      </c>
    </row>
    <row r="54" spans="1:6" ht="16.8" thickBot="1">
      <c r="A54" s="132"/>
      <c r="B54" s="133" t="str">
        <f>葷!G18</f>
        <v>南瓜蘑菇濃湯</v>
      </c>
      <c r="C54" s="136" t="s">
        <v>105</v>
      </c>
      <c r="D54" s="135" t="s">
        <v>133</v>
      </c>
      <c r="E54" s="31">
        <f>(35*0.55)</f>
        <v>19.25</v>
      </c>
      <c r="F54" s="32">
        <f>SUM(E50:E54)+110</f>
        <v>523.65</v>
      </c>
    </row>
    <row r="55" spans="1:6">
      <c r="A55" s="119">
        <v>45001</v>
      </c>
      <c r="B55" s="120" t="str">
        <f>葷!C19</f>
        <v>麥片飯</v>
      </c>
      <c r="C55" s="121" t="s">
        <v>273</v>
      </c>
      <c r="D55" s="122" t="s">
        <v>130</v>
      </c>
      <c r="E55" s="31">
        <f>(70*0.06)+(5*0.25)+(5*0.09)+(8*0.19)+(12*0.03)+(12*0.1)+(8*0.03)</f>
        <v>9.2200000000000006</v>
      </c>
    </row>
    <row r="56" spans="1:6">
      <c r="A56" s="123">
        <f>A55</f>
        <v>45001</v>
      </c>
      <c r="B56" s="124" t="str">
        <f>葷!D19</f>
        <v>桔醬炸雞丁</v>
      </c>
      <c r="C56" s="125" t="s">
        <v>288</v>
      </c>
      <c r="D56" s="126" t="s">
        <v>139</v>
      </c>
      <c r="E56" s="31">
        <f>75*0.28</f>
        <v>21.000000000000004</v>
      </c>
    </row>
    <row r="57" spans="1:6">
      <c r="A57" s="127" t="s">
        <v>89</v>
      </c>
      <c r="B57" s="130" t="str">
        <f>葷!E19</f>
        <v>客家豆豉炒菜豆</v>
      </c>
      <c r="C57" s="125" t="s">
        <v>297</v>
      </c>
      <c r="D57" s="126" t="s">
        <v>293</v>
      </c>
    </row>
    <row r="58" spans="1:6">
      <c r="A58" s="127"/>
      <c r="B58" s="130" t="str">
        <f>葷!F19</f>
        <v>北農有機青菜</v>
      </c>
      <c r="C58" s="125" t="s">
        <v>93</v>
      </c>
      <c r="D58" s="126" t="s">
        <v>132</v>
      </c>
      <c r="E58" s="31">
        <f>(45*0.51)+(3*0.27)+(5*0.31)+(6*0.47)+(6*0.02)+(2*0.3)</f>
        <v>28.85</v>
      </c>
    </row>
    <row r="59" spans="1:6" ht="16.8" thickBot="1">
      <c r="A59" s="132"/>
      <c r="B59" s="133" t="str">
        <f>葷!G19</f>
        <v>客家米苔目鹹湯</v>
      </c>
      <c r="C59" s="136" t="s">
        <v>289</v>
      </c>
      <c r="D59" s="135" t="s">
        <v>133</v>
      </c>
      <c r="E59" s="31">
        <f>(2*1.03)+(5*0.01)+(5*0.01)</f>
        <v>2.1599999999999997</v>
      </c>
      <c r="F59" s="32">
        <f>SUM(E55:E59)+11</f>
        <v>72.23</v>
      </c>
    </row>
    <row r="60" spans="1:6">
      <c r="A60" s="119">
        <v>45002</v>
      </c>
      <c r="B60" s="120" t="str">
        <f>葷!C20</f>
        <v>地瓜簽飯</v>
      </c>
      <c r="C60" s="121" t="s">
        <v>107</v>
      </c>
      <c r="D60" s="122" t="s">
        <v>130</v>
      </c>
      <c r="E60" s="31">
        <f>80*0.06</f>
        <v>4.8</v>
      </c>
    </row>
    <row r="61" spans="1:6">
      <c r="A61" s="123">
        <f>A60</f>
        <v>45002</v>
      </c>
      <c r="B61" s="140" t="str">
        <f>葷!D20</f>
        <v>蜜汁醬燒魚</v>
      </c>
      <c r="C61" s="125" t="s">
        <v>108</v>
      </c>
      <c r="D61" s="126" t="s">
        <v>135</v>
      </c>
      <c r="E61" s="31">
        <f>(45*6.85)+(20*0.33)+(10*0.31)+(0.3*0.96)</f>
        <v>318.23800000000006</v>
      </c>
    </row>
    <row r="62" spans="1:6">
      <c r="A62" s="127" t="s">
        <v>90</v>
      </c>
      <c r="B62" s="124" t="str">
        <f>葷!E20</f>
        <v>夜市滷味</v>
      </c>
      <c r="C62" s="125" t="s">
        <v>295</v>
      </c>
      <c r="D62" s="126" t="s">
        <v>140</v>
      </c>
      <c r="E62" s="31">
        <f>(43*0.47)+(4*0.14)+(1*0.31)+(2*10)</f>
        <v>41.08</v>
      </c>
    </row>
    <row r="63" spans="1:6">
      <c r="A63" s="127"/>
      <c r="B63" s="124" t="str">
        <f>葷!F20</f>
        <v>大白菜滷</v>
      </c>
      <c r="C63" s="125" t="s">
        <v>296</v>
      </c>
      <c r="D63" s="126" t="s">
        <v>131</v>
      </c>
      <c r="E63" s="31">
        <v>70</v>
      </c>
    </row>
    <row r="64" spans="1:6" ht="16.8" thickBot="1">
      <c r="A64" s="132"/>
      <c r="B64" s="133" t="str">
        <f>葷!G20</f>
        <v>鮮菇肉羹湯</v>
      </c>
      <c r="C64" s="136" t="s">
        <v>298</v>
      </c>
      <c r="D64" s="135" t="s">
        <v>133</v>
      </c>
      <c r="E64" s="31">
        <f>(23*1.4)+(8*0.01)+(4*0.27)</f>
        <v>33.359999999999992</v>
      </c>
      <c r="F64" s="32">
        <f>SUM(E60:E64)+110</f>
        <v>577.47800000000007</v>
      </c>
    </row>
    <row r="65" spans="1:6">
      <c r="A65" s="35">
        <v>45005</v>
      </c>
      <c r="B65" s="36" t="s">
        <v>84</v>
      </c>
      <c r="C65" s="37" t="s">
        <v>111</v>
      </c>
      <c r="D65" s="38" t="s">
        <v>133</v>
      </c>
      <c r="E65" s="31">
        <v>5.0999999999999996</v>
      </c>
    </row>
    <row r="66" spans="1:6">
      <c r="A66" s="39">
        <f>A65</f>
        <v>45005</v>
      </c>
      <c r="B66" s="55" t="s">
        <v>85</v>
      </c>
      <c r="C66" s="41" t="s">
        <v>109</v>
      </c>
      <c r="D66" s="42" t="s">
        <v>134</v>
      </c>
      <c r="E66" s="31">
        <f>(70*0.08)+(15*0.04)+(10*0.19)+(8*0.07)</f>
        <v>8.66</v>
      </c>
    </row>
    <row r="67" spans="1:6">
      <c r="A67" s="43"/>
      <c r="B67" s="40" t="s">
        <v>229</v>
      </c>
      <c r="C67" s="62" t="s">
        <v>93</v>
      </c>
      <c r="D67" s="42" t="s">
        <v>132</v>
      </c>
      <c r="E67" s="31">
        <f>(35*0.03)+(20*0.12)+(5*0.49)+(5*0.31)+(3*0.45)+(2*0.5)</f>
        <v>9.8000000000000007</v>
      </c>
    </row>
    <row r="68" spans="1:6" ht="16.8" thickBot="1">
      <c r="A68" s="48"/>
      <c r="B68" s="49" t="s">
        <v>113</v>
      </c>
      <c r="C68" s="92" t="s">
        <v>112</v>
      </c>
      <c r="D68" s="51" t="s">
        <v>133</v>
      </c>
      <c r="E68" s="31">
        <f>(0.8*3.42)+(8*0.47)</f>
        <v>6.4960000000000004</v>
      </c>
      <c r="F68" s="32">
        <f>SUM(E65:E68)+11</f>
        <v>41.056000000000004</v>
      </c>
    </row>
    <row r="69" spans="1:6">
      <c r="A69" s="35">
        <v>45006</v>
      </c>
      <c r="B69" s="36" t="str">
        <f>葷!C22</f>
        <v>有機白米飯</v>
      </c>
      <c r="C69" s="63" t="s">
        <v>91</v>
      </c>
      <c r="D69" s="38" t="s">
        <v>130</v>
      </c>
      <c r="E69" s="31">
        <v>5.0999999999999996</v>
      </c>
    </row>
    <row r="70" spans="1:6">
      <c r="A70" s="39">
        <f>A69</f>
        <v>45006</v>
      </c>
      <c r="B70" s="40" t="str">
        <f>葷!D22</f>
        <v>香滷翅腿X2</v>
      </c>
      <c r="C70" s="41" t="s">
        <v>300</v>
      </c>
      <c r="D70" s="42" t="s">
        <v>140</v>
      </c>
      <c r="E70" s="31">
        <f>(75*0.09)+(18*2.16)+(2*1.91)</f>
        <v>49.45</v>
      </c>
    </row>
    <row r="71" spans="1:6">
      <c r="A71" s="43"/>
      <c r="B71" s="40" t="str">
        <f>葷!E22</f>
        <v>＊紅蘿蔔炒蛋</v>
      </c>
      <c r="C71" s="44" t="s">
        <v>114</v>
      </c>
      <c r="D71" s="42" t="s">
        <v>136</v>
      </c>
      <c r="E71" s="31">
        <f>(85*0.11)+(2*0.31)+(2*0.27)+(15*9.12)</f>
        <v>147.30999999999997</v>
      </c>
    </row>
    <row r="72" spans="1:6">
      <c r="A72" s="45"/>
      <c r="B72" s="46" t="str">
        <f>葷!F22</f>
        <v>北農有機青菜</v>
      </c>
      <c r="C72" s="56" t="s">
        <v>93</v>
      </c>
      <c r="D72" s="47" t="s">
        <v>132</v>
      </c>
      <c r="E72" s="31">
        <f>(65*0.5)+(2*0.03)</f>
        <v>32.56</v>
      </c>
    </row>
    <row r="73" spans="1:6" ht="16.8" thickBot="1">
      <c r="A73" s="48"/>
      <c r="B73" s="49" t="str">
        <f>葷!G22</f>
        <v>＊(熱)地瓜牛奶西米露</v>
      </c>
      <c r="C73" s="50" t="s">
        <v>299</v>
      </c>
      <c r="D73" s="51" t="s">
        <v>133</v>
      </c>
      <c r="E73" s="31">
        <f>(23*0.14)+(8*0.31)+(5*0.19)</f>
        <v>6.65</v>
      </c>
      <c r="F73" s="32">
        <f>SUM(E69:E73)+11</f>
        <v>252.07</v>
      </c>
    </row>
    <row r="74" spans="1:6">
      <c r="A74" s="35">
        <v>45007</v>
      </c>
      <c r="B74" s="36" t="str">
        <f>葷!C23</f>
        <v>南瓜子飯</v>
      </c>
      <c r="C74" s="37" t="s">
        <v>115</v>
      </c>
      <c r="D74" s="38" t="s">
        <v>130</v>
      </c>
      <c r="E74" s="31">
        <v>6.7</v>
      </c>
    </row>
    <row r="75" spans="1:6">
      <c r="A75" s="39">
        <f>A74</f>
        <v>45007</v>
      </c>
      <c r="B75" s="55" t="str">
        <f>葷!D23</f>
        <v>鳳梨糖醋魚丁</v>
      </c>
      <c r="C75" s="64" t="s">
        <v>116</v>
      </c>
      <c r="D75" s="42" t="s">
        <v>138</v>
      </c>
      <c r="E75" s="31">
        <f>(65*0.03)+(12*0.12)+(5*0.31)+(20*0.19)+(1.5*3.16)</f>
        <v>13.479999999999999</v>
      </c>
    </row>
    <row r="76" spans="1:6">
      <c r="A76" s="43"/>
      <c r="B76" s="40" t="str">
        <f>葷!E23</f>
        <v>＊鮮蔬麵片</v>
      </c>
      <c r="C76" s="44" t="s">
        <v>120</v>
      </c>
      <c r="D76" s="42" t="s">
        <v>133</v>
      </c>
      <c r="E76" s="31">
        <f>(35*0.27)+(12*0.87)+(18*2.16)+(8*0.03)+(5*0.43)</f>
        <v>61.160000000000004</v>
      </c>
    </row>
    <row r="77" spans="1:6">
      <c r="A77" s="43"/>
      <c r="B77" s="40" t="str">
        <f>葷!F23</f>
        <v>油蔥青江菜</v>
      </c>
      <c r="C77" s="44" t="s">
        <v>301</v>
      </c>
      <c r="D77" s="42" t="s">
        <v>132</v>
      </c>
      <c r="E77" s="31">
        <f>68*1</f>
        <v>68</v>
      </c>
    </row>
    <row r="78" spans="1:6" ht="16.8" thickBot="1">
      <c r="A78" s="48"/>
      <c r="B78" s="49" t="str">
        <f>葷!G23</f>
        <v>針菇豆腐湯</v>
      </c>
      <c r="C78" s="50" t="s">
        <v>118</v>
      </c>
      <c r="D78" s="51" t="s">
        <v>133</v>
      </c>
      <c r="E78" s="31">
        <f>(12*0.19)+(3*0.31)+(3*0.27)+(3*0.55)</f>
        <v>5.67</v>
      </c>
      <c r="F78" s="32">
        <f>SUM(E74:E78)+11</f>
        <v>166.01</v>
      </c>
    </row>
    <row r="79" spans="1:6">
      <c r="A79" s="35">
        <v>45008</v>
      </c>
      <c r="B79" s="36" t="str">
        <f>葷!C24</f>
        <v>胚芽有機米飯</v>
      </c>
      <c r="C79" s="37" t="s">
        <v>302</v>
      </c>
      <c r="D79" s="38" t="s">
        <v>130</v>
      </c>
      <c r="E79" s="31">
        <v>7.5</v>
      </c>
    </row>
    <row r="80" spans="1:6">
      <c r="A80" s="39">
        <f>A79</f>
        <v>45008</v>
      </c>
      <c r="B80" s="40" t="str">
        <f>葷!D24</f>
        <v>咖哩肉片</v>
      </c>
      <c r="C80" s="64" t="s">
        <v>119</v>
      </c>
      <c r="D80" s="42" t="s">
        <v>138</v>
      </c>
      <c r="E80" s="31">
        <f>(70*1.4)+(12*0.19)+(8*0.31)+(4*0.27)</f>
        <v>103.84</v>
      </c>
    </row>
    <row r="81" spans="1:6">
      <c r="A81" s="39"/>
      <c r="B81" s="40" t="str">
        <f>葷!E24</f>
        <v>螞蟻上樹</v>
      </c>
      <c r="C81" s="91" t="s">
        <v>303</v>
      </c>
      <c r="D81" s="42" t="s">
        <v>136</v>
      </c>
      <c r="E81" s="31">
        <f>(55*0.47)+(4*0.3)+(2*0.03)</f>
        <v>27.109999999999996</v>
      </c>
    </row>
    <row r="82" spans="1:6">
      <c r="A82" s="43"/>
      <c r="B82" s="40" t="str">
        <f>葷!F24</f>
        <v>北農有機青菜</v>
      </c>
      <c r="C82" s="44" t="s">
        <v>93</v>
      </c>
      <c r="D82" s="42" t="s">
        <v>132</v>
      </c>
      <c r="E82" s="31">
        <f>(68*1.03)</f>
        <v>70.040000000000006</v>
      </c>
    </row>
    <row r="83" spans="1:6" ht="16.8" thickBot="1">
      <c r="A83" s="48"/>
      <c r="B83" s="49" t="str">
        <f>葷!G24</f>
        <v>薑絲胡瓜湯</v>
      </c>
      <c r="C83" s="50" t="s">
        <v>304</v>
      </c>
      <c r="D83" s="51" t="s">
        <v>133</v>
      </c>
      <c r="E83" s="31">
        <f>(4*22.13)+(0.6*10)+(5*0.43)</f>
        <v>96.67</v>
      </c>
      <c r="F83" s="32">
        <f>SUM(E79:E83)+110</f>
        <v>415.16</v>
      </c>
    </row>
    <row r="84" spans="1:6">
      <c r="A84" s="35">
        <v>45009</v>
      </c>
      <c r="B84" s="36" t="str">
        <f>葷!C25</f>
        <v>大麥仁飯</v>
      </c>
      <c r="C84" s="37" t="s">
        <v>121</v>
      </c>
      <c r="D84" s="38" t="s">
        <v>130</v>
      </c>
    </row>
    <row r="85" spans="1:6">
      <c r="A85" s="39">
        <f>A84</f>
        <v>45009</v>
      </c>
      <c r="B85" s="40" t="str">
        <f>葷!D25</f>
        <v>麻油菇菇雞</v>
      </c>
      <c r="C85" s="44" t="s">
        <v>122</v>
      </c>
      <c r="D85" s="42" t="s">
        <v>133</v>
      </c>
    </row>
    <row r="86" spans="1:6">
      <c r="A86" s="43"/>
      <c r="B86" s="40" t="str">
        <f>葷!E25</f>
        <v>芹香海帶干絲</v>
      </c>
      <c r="C86" s="44" t="s">
        <v>123</v>
      </c>
      <c r="D86" s="42" t="s">
        <v>136</v>
      </c>
    </row>
    <row r="87" spans="1:6">
      <c r="A87" s="45"/>
      <c r="B87" s="46" t="str">
        <f>葷!F25</f>
        <v>薑絲菠菜</v>
      </c>
      <c r="C87" s="56" t="s">
        <v>305</v>
      </c>
      <c r="D87" s="47" t="s">
        <v>132</v>
      </c>
    </row>
    <row r="88" spans="1:6" ht="16.8" thickBot="1">
      <c r="A88" s="48"/>
      <c r="B88" s="49" t="str">
        <f>葷!G25</f>
        <v>肉骨茶湯</v>
      </c>
      <c r="C88" s="53" t="s">
        <v>309</v>
      </c>
      <c r="D88" s="51" t="s">
        <v>133</v>
      </c>
      <c r="F88" s="32">
        <f>SUM(E84:E88)+11</f>
        <v>11</v>
      </c>
    </row>
    <row r="89" spans="1:6">
      <c r="A89" s="35">
        <v>45010</v>
      </c>
      <c r="B89" s="36" t="str">
        <f>葷!C26</f>
        <v>糙米飯</v>
      </c>
      <c r="C89" s="37" t="s">
        <v>251</v>
      </c>
      <c r="D89" s="38" t="s">
        <v>130</v>
      </c>
    </row>
    <row r="90" spans="1:6">
      <c r="A90" s="39">
        <f>A89</f>
        <v>45010</v>
      </c>
      <c r="B90" s="40" t="str">
        <f>葷!D26</f>
        <v>椒鹽炸豬柳</v>
      </c>
      <c r="C90" s="44" t="s">
        <v>306</v>
      </c>
      <c r="D90" s="42" t="s">
        <v>139</v>
      </c>
    </row>
    <row r="91" spans="1:6">
      <c r="A91" s="43"/>
      <c r="B91" s="40" t="str">
        <f>葷!E26</f>
        <v>豆皮燴扁蒲</v>
      </c>
      <c r="C91" s="44" t="s">
        <v>307</v>
      </c>
      <c r="D91" s="42" t="s">
        <v>141</v>
      </c>
    </row>
    <row r="92" spans="1:6">
      <c r="A92" s="45"/>
      <c r="B92" s="46" t="str">
        <f>葷!F26</f>
        <v>北農有機青菜</v>
      </c>
      <c r="C92" s="56" t="s">
        <v>93</v>
      </c>
      <c r="D92" s="47" t="s">
        <v>132</v>
      </c>
    </row>
    <row r="93" spans="1:6" ht="16.8" thickBot="1">
      <c r="A93" s="48"/>
      <c r="B93" s="49" t="str">
        <f>葷!G26</f>
        <v>菜頭黑輪湯</v>
      </c>
      <c r="C93" s="53" t="s">
        <v>308</v>
      </c>
      <c r="D93" s="51" t="s">
        <v>133</v>
      </c>
      <c r="F93" s="32">
        <f>SUM(E89:E93)+11</f>
        <v>11</v>
      </c>
    </row>
    <row r="94" spans="1:6">
      <c r="A94" s="35">
        <v>45012</v>
      </c>
      <c r="B94" s="36" t="str">
        <f>葷!C27</f>
        <v>黑芝麻飯</v>
      </c>
      <c r="C94" s="37" t="s">
        <v>124</v>
      </c>
      <c r="D94" s="38" t="s">
        <v>130</v>
      </c>
      <c r="E94" s="31">
        <v>5.2</v>
      </c>
    </row>
    <row r="95" spans="1:6">
      <c r="A95" s="39">
        <f>A94</f>
        <v>45012</v>
      </c>
      <c r="B95" s="40" t="str">
        <f>葷!D27</f>
        <v>沙茶燴三鮮</v>
      </c>
      <c r="C95" s="44" t="s">
        <v>310</v>
      </c>
      <c r="D95" s="42" t="s">
        <v>138</v>
      </c>
      <c r="E95" s="31">
        <f>(75*0.09)+(20*0.19)+(3*0.11)+(5*0.01)</f>
        <v>10.930000000000001</v>
      </c>
    </row>
    <row r="96" spans="1:6">
      <c r="A96" s="43"/>
      <c r="B96" s="40" t="str">
        <f>葷!E27</f>
        <v>肉絲燴冬瓜</v>
      </c>
      <c r="C96" s="44" t="s">
        <v>125</v>
      </c>
      <c r="D96" s="42" t="s">
        <v>141</v>
      </c>
      <c r="E96" s="31">
        <f>(50*0.87)+(12*2.87)+(8*2.22)</f>
        <v>95.7</v>
      </c>
    </row>
    <row r="97" spans="1:6">
      <c r="A97" s="43"/>
      <c r="B97" s="40" t="str">
        <f>葷!F27</f>
        <v>北農有機青菜</v>
      </c>
      <c r="C97" s="44" t="s">
        <v>93</v>
      </c>
      <c r="D97" s="42" t="s">
        <v>132</v>
      </c>
      <c r="E97" s="31">
        <f>65*0.83</f>
        <v>53.949999999999996</v>
      </c>
    </row>
    <row r="98" spans="1:6" ht="16.8" thickBot="1">
      <c r="A98" s="48"/>
      <c r="B98" s="49" t="str">
        <f>葷!G27</f>
        <v>(熱)銀耳桂圓甜湯</v>
      </c>
      <c r="C98" s="50" t="s">
        <v>126</v>
      </c>
      <c r="D98" s="51" t="s">
        <v>133</v>
      </c>
      <c r="E98" s="31">
        <f>(25*0.27)+(8*0.31)+(6*0.03)</f>
        <v>9.41</v>
      </c>
      <c r="F98" s="32">
        <f>SUM(E94:E98)+11</f>
        <v>186.19</v>
      </c>
    </row>
    <row r="99" spans="1:6">
      <c r="A99" s="35">
        <v>45013</v>
      </c>
      <c r="B99" s="36" t="str">
        <f>葷!C28</f>
        <v>兒童節票選特餐</v>
      </c>
      <c r="C99" s="63"/>
      <c r="D99" s="38"/>
      <c r="E99" s="31">
        <f>(70*0.06)+(10*0.4)</f>
        <v>8.1999999999999993</v>
      </c>
    </row>
    <row r="100" spans="1:6">
      <c r="A100" s="39">
        <f>A99</f>
        <v>45013</v>
      </c>
      <c r="B100" s="40">
        <f>葷!D28</f>
        <v>0</v>
      </c>
      <c r="C100" s="44"/>
      <c r="D100" s="42"/>
      <c r="E100" s="31">
        <f>(60*0.03)+(30*0.12)+(5*0.31)+(2*3.16)+(2*1.44)</f>
        <v>16.149999999999999</v>
      </c>
    </row>
    <row r="101" spans="1:6" ht="16.8" thickBot="1">
      <c r="A101" s="48"/>
      <c r="B101" s="49">
        <f>葷!G28</f>
        <v>0</v>
      </c>
      <c r="C101" s="50"/>
      <c r="D101" s="51"/>
      <c r="E101" s="31">
        <f>(8*1.17)+(10*0.22)+(15*9.12)</f>
        <v>148.35999999999999</v>
      </c>
      <c r="F101" s="32">
        <f>SUM(E99:E101)+11</f>
        <v>183.70999999999998</v>
      </c>
    </row>
    <row r="102" spans="1:6">
      <c r="A102" s="35">
        <v>45014</v>
      </c>
      <c r="B102" s="36" t="str">
        <f>葷!C29</f>
        <v>麥片飯</v>
      </c>
      <c r="C102" s="57" t="s">
        <v>311</v>
      </c>
      <c r="D102" s="65" t="s">
        <v>130</v>
      </c>
      <c r="E102" s="31">
        <f>80*0.06</f>
        <v>4.8</v>
      </c>
    </row>
    <row r="103" spans="1:6">
      <c r="A103" s="39">
        <f>A102</f>
        <v>45014</v>
      </c>
      <c r="B103" s="40" t="str">
        <f>葷!D29</f>
        <v>花瓜雞丁</v>
      </c>
      <c r="C103" s="66" t="s">
        <v>312</v>
      </c>
      <c r="D103" s="42" t="s">
        <v>133</v>
      </c>
      <c r="E103" s="31">
        <f>(85*0.08)+(8*0.1)+(3*0.14)</f>
        <v>8.02</v>
      </c>
    </row>
    <row r="104" spans="1:6">
      <c r="A104" s="43"/>
      <c r="B104" s="40" t="str">
        <f>葷!E29</f>
        <v>＊蛋酥花椰菜</v>
      </c>
      <c r="C104" s="67" t="s">
        <v>313</v>
      </c>
      <c r="D104" s="42" t="s">
        <v>132</v>
      </c>
      <c r="E104" s="31">
        <f>(70*0.51)+(5*0.31)+(3*0.27)+(5*0.03)</f>
        <v>38.21</v>
      </c>
    </row>
    <row r="105" spans="1:6">
      <c r="A105" s="43"/>
      <c r="B105" s="40" t="str">
        <f>葷!F29</f>
        <v>木耳大白菜</v>
      </c>
      <c r="C105" s="44" t="s">
        <v>314</v>
      </c>
      <c r="D105" s="42" t="s">
        <v>132</v>
      </c>
      <c r="E105" s="31">
        <v>70</v>
      </c>
    </row>
    <row r="106" spans="1:6" ht="16.8" thickBot="1">
      <c r="A106" s="48"/>
      <c r="B106" s="49" t="str">
        <f>葷!G29</f>
        <v>＊古早味米粉湯</v>
      </c>
      <c r="C106" s="53" t="s">
        <v>127</v>
      </c>
      <c r="D106" s="51" t="s">
        <v>133</v>
      </c>
      <c r="E106" s="31">
        <f>(12*0.03)+(10*0.04)+(2*0.31)+(5*0.27)+(3*0.47)+(15*9.12)</f>
        <v>140.93999999999997</v>
      </c>
      <c r="F106" s="32">
        <f>SUM(E102:E106)+11</f>
        <v>272.96999999999997</v>
      </c>
    </row>
    <row r="107" spans="1:6">
      <c r="A107" s="35">
        <v>45015</v>
      </c>
      <c r="B107" s="36" t="str">
        <f>葷!C30</f>
        <v>香鬆黃豆飯</v>
      </c>
      <c r="C107" s="37" t="s">
        <v>315</v>
      </c>
      <c r="D107" s="38" t="s">
        <v>130</v>
      </c>
      <c r="E107" s="31">
        <f>80*0.06</f>
        <v>4.8</v>
      </c>
    </row>
    <row r="108" spans="1:6">
      <c r="A108" s="39">
        <f>A107</f>
        <v>45015</v>
      </c>
      <c r="B108" s="40" t="str">
        <f>葷!D30</f>
        <v>＊鴻喜菇蒸蛋</v>
      </c>
      <c r="C108" s="64" t="s">
        <v>128</v>
      </c>
      <c r="D108" s="42" t="s">
        <v>130</v>
      </c>
      <c r="E108" s="31">
        <f>(85*0.08)+(8*0.1)+(3*0.14)</f>
        <v>8.02</v>
      </c>
    </row>
    <row r="109" spans="1:6">
      <c r="A109" s="43"/>
      <c r="B109" s="40" t="str">
        <f>葷!E30</f>
        <v>香酥麥克雞塊X2</v>
      </c>
      <c r="C109" s="44" t="s">
        <v>129</v>
      </c>
      <c r="D109" s="42" t="s">
        <v>139</v>
      </c>
      <c r="E109" s="31">
        <v>70</v>
      </c>
    </row>
    <row r="110" spans="1:6">
      <c r="A110" s="45"/>
      <c r="B110" s="40" t="str">
        <f>葷!F30</f>
        <v>北農有機青菜</v>
      </c>
      <c r="C110" s="56" t="s">
        <v>93</v>
      </c>
      <c r="D110" s="47" t="s">
        <v>132</v>
      </c>
    </row>
    <row r="111" spans="1:6" ht="16.8" thickBot="1">
      <c r="A111" s="48"/>
      <c r="B111" s="49" t="str">
        <f>葷!G30</f>
        <v>海芽豆腐湯</v>
      </c>
      <c r="C111" s="50" t="s">
        <v>316</v>
      </c>
      <c r="D111" s="51" t="s">
        <v>133</v>
      </c>
      <c r="E111" s="31">
        <f>(12*0.03)+(10*0.04)+(2*0.31)+(5*0.27)+(3*0.47)+(15*9.12)</f>
        <v>140.93999999999997</v>
      </c>
      <c r="F111" s="32">
        <f>SUM(E107:E111)+11</f>
        <v>234.75999999999996</v>
      </c>
    </row>
    <row r="112" spans="1:6">
      <c r="A112" s="35">
        <v>45016</v>
      </c>
      <c r="B112" s="36" t="str">
        <f>葷!C31</f>
        <v>有機白米飯</v>
      </c>
      <c r="C112" s="37" t="s">
        <v>91</v>
      </c>
      <c r="D112" s="38" t="s">
        <v>130</v>
      </c>
      <c r="E112" s="31">
        <f>(115*0.17)+(10*1.03)+(3*0.27)+(12*0.03)+(8*0.19)</f>
        <v>32.54</v>
      </c>
    </row>
    <row r="113" spans="1:6">
      <c r="A113" s="39">
        <f>A112</f>
        <v>45016</v>
      </c>
      <c r="B113" s="40" t="str">
        <f>葷!D31</f>
        <v>滷大排X1</v>
      </c>
      <c r="C113" s="52" t="s">
        <v>92</v>
      </c>
      <c r="D113" s="42" t="s">
        <v>131</v>
      </c>
      <c r="E113" s="31">
        <f>(130*0.08)</f>
        <v>10.4</v>
      </c>
    </row>
    <row r="114" spans="1:6">
      <c r="A114" s="43"/>
      <c r="B114" s="40" t="str">
        <f>葷!E31</f>
        <v>肉燥高麗菜</v>
      </c>
      <c r="C114" s="44" t="s">
        <v>318</v>
      </c>
      <c r="D114" s="42" t="s">
        <v>132</v>
      </c>
      <c r="E114" s="31">
        <f>(70*0.38)</f>
        <v>26.6</v>
      </c>
    </row>
    <row r="115" spans="1:6">
      <c r="A115" s="45"/>
      <c r="B115" s="46" t="str">
        <f>葷!F31</f>
        <v>蒜香四季豆</v>
      </c>
      <c r="C115" s="91" t="s">
        <v>319</v>
      </c>
      <c r="D115" s="47" t="s">
        <v>132</v>
      </c>
    </row>
    <row r="116" spans="1:6" ht="16.8" thickBot="1">
      <c r="A116" s="48"/>
      <c r="B116" s="49" t="str">
        <f>葷!G31</f>
        <v>＊針菇蛋花湯</v>
      </c>
      <c r="C116" s="53" t="s">
        <v>320</v>
      </c>
      <c r="D116" s="51" t="s">
        <v>133</v>
      </c>
      <c r="E116" s="31">
        <f>(28*1.4)+(6*0.01)+(2*0.31)</f>
        <v>39.879999999999995</v>
      </c>
      <c r="F116" s="32">
        <f>SUM(E112:E116)+11</f>
        <v>120.41999999999999</v>
      </c>
    </row>
    <row r="117" spans="1:6">
      <c r="A117" s="264" t="s">
        <v>32</v>
      </c>
      <c r="B117" s="264"/>
      <c r="C117" s="264"/>
      <c r="D117" s="264"/>
    </row>
    <row r="118" spans="1:6">
      <c r="A118" s="265" t="s">
        <v>33</v>
      </c>
      <c r="B118" s="266"/>
      <c r="C118" s="266"/>
      <c r="D118" s="266"/>
      <c r="F118" s="32">
        <f>SUM(F50:F117)/21</f>
        <v>146.08114285714288</v>
      </c>
    </row>
    <row r="119" spans="1:6">
      <c r="F119" s="32">
        <f>SUM(F3:F117)/21</f>
        <v>233.42204761904765</v>
      </c>
    </row>
  </sheetData>
  <mergeCells count="3">
    <mergeCell ref="A1:D1"/>
    <mergeCell ref="A117:D117"/>
    <mergeCell ref="A118:D118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portrait" r:id="rId1"/>
  <rowBreaks count="1" manualBreakCount="1">
    <brk id="64" max="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view="pageBreakPreview" zoomScale="85" zoomScaleNormal="85" zoomScaleSheetLayoutView="85" workbookViewId="0">
      <selection activeCell="A46" sqref="A46:N46"/>
    </sheetView>
  </sheetViews>
  <sheetFormatPr defaultRowHeight="15.6"/>
  <cols>
    <col min="1" max="1" width="3" style="2" customWidth="1"/>
    <col min="2" max="2" width="2.77734375" style="2" customWidth="1"/>
    <col min="3" max="3" width="14.6640625" style="26" customWidth="1"/>
    <col min="4" max="4" width="28" style="27" customWidth="1"/>
    <col min="5" max="5" width="31.109375" style="2" customWidth="1"/>
    <col min="6" max="6" width="24.109375" style="2" customWidth="1"/>
    <col min="7" max="7" width="30.77734375" style="2" customWidth="1"/>
    <col min="8" max="13" width="3.6640625" style="28" customWidth="1"/>
    <col min="14" max="14" width="9" style="1"/>
    <col min="15" max="255" width="9" style="2"/>
    <col min="256" max="256" width="3" style="2" customWidth="1"/>
    <col min="257" max="257" width="2.77734375" style="2" customWidth="1"/>
    <col min="258" max="258" width="14.6640625" style="2" customWidth="1"/>
    <col min="259" max="259" width="28" style="2" customWidth="1"/>
    <col min="260" max="260" width="31.109375" style="2" customWidth="1"/>
    <col min="261" max="261" width="24.109375" style="2" customWidth="1"/>
    <col min="262" max="262" width="30.77734375" style="2" customWidth="1"/>
    <col min="263" max="267" width="3.6640625" style="2" customWidth="1"/>
    <col min="268" max="268" width="5.6640625" style="2" customWidth="1"/>
    <col min="269" max="269" width="3.6640625" style="2" customWidth="1"/>
    <col min="270" max="511" width="9" style="2"/>
    <col min="512" max="512" width="3" style="2" customWidth="1"/>
    <col min="513" max="513" width="2.77734375" style="2" customWidth="1"/>
    <col min="514" max="514" width="14.6640625" style="2" customWidth="1"/>
    <col min="515" max="515" width="28" style="2" customWidth="1"/>
    <col min="516" max="516" width="31.109375" style="2" customWidth="1"/>
    <col min="517" max="517" width="24.109375" style="2" customWidth="1"/>
    <col min="518" max="518" width="30.77734375" style="2" customWidth="1"/>
    <col min="519" max="523" width="3.6640625" style="2" customWidth="1"/>
    <col min="524" max="524" width="5.6640625" style="2" customWidth="1"/>
    <col min="525" max="525" width="3.6640625" style="2" customWidth="1"/>
    <col min="526" max="767" width="9" style="2"/>
    <col min="768" max="768" width="3" style="2" customWidth="1"/>
    <col min="769" max="769" width="2.77734375" style="2" customWidth="1"/>
    <col min="770" max="770" width="14.6640625" style="2" customWidth="1"/>
    <col min="771" max="771" width="28" style="2" customWidth="1"/>
    <col min="772" max="772" width="31.109375" style="2" customWidth="1"/>
    <col min="773" max="773" width="24.109375" style="2" customWidth="1"/>
    <col min="774" max="774" width="30.77734375" style="2" customWidth="1"/>
    <col min="775" max="779" width="3.6640625" style="2" customWidth="1"/>
    <col min="780" max="780" width="5.6640625" style="2" customWidth="1"/>
    <col min="781" max="781" width="3.6640625" style="2" customWidth="1"/>
    <col min="782" max="1023" width="9" style="2"/>
    <col min="1024" max="1024" width="3" style="2" customWidth="1"/>
    <col min="1025" max="1025" width="2.77734375" style="2" customWidth="1"/>
    <col min="1026" max="1026" width="14.6640625" style="2" customWidth="1"/>
    <col min="1027" max="1027" width="28" style="2" customWidth="1"/>
    <col min="1028" max="1028" width="31.109375" style="2" customWidth="1"/>
    <col min="1029" max="1029" width="24.109375" style="2" customWidth="1"/>
    <col min="1030" max="1030" width="30.77734375" style="2" customWidth="1"/>
    <col min="1031" max="1035" width="3.6640625" style="2" customWidth="1"/>
    <col min="1036" max="1036" width="5.6640625" style="2" customWidth="1"/>
    <col min="1037" max="1037" width="3.6640625" style="2" customWidth="1"/>
    <col min="1038" max="1279" width="9" style="2"/>
    <col min="1280" max="1280" width="3" style="2" customWidth="1"/>
    <col min="1281" max="1281" width="2.77734375" style="2" customWidth="1"/>
    <col min="1282" max="1282" width="14.6640625" style="2" customWidth="1"/>
    <col min="1283" max="1283" width="28" style="2" customWidth="1"/>
    <col min="1284" max="1284" width="31.109375" style="2" customWidth="1"/>
    <col min="1285" max="1285" width="24.109375" style="2" customWidth="1"/>
    <col min="1286" max="1286" width="30.77734375" style="2" customWidth="1"/>
    <col min="1287" max="1291" width="3.6640625" style="2" customWidth="1"/>
    <col min="1292" max="1292" width="5.6640625" style="2" customWidth="1"/>
    <col min="1293" max="1293" width="3.6640625" style="2" customWidth="1"/>
    <col min="1294" max="1535" width="9" style="2"/>
    <col min="1536" max="1536" width="3" style="2" customWidth="1"/>
    <col min="1537" max="1537" width="2.77734375" style="2" customWidth="1"/>
    <col min="1538" max="1538" width="14.6640625" style="2" customWidth="1"/>
    <col min="1539" max="1539" width="28" style="2" customWidth="1"/>
    <col min="1540" max="1540" width="31.109375" style="2" customWidth="1"/>
    <col min="1541" max="1541" width="24.109375" style="2" customWidth="1"/>
    <col min="1542" max="1542" width="30.77734375" style="2" customWidth="1"/>
    <col min="1543" max="1547" width="3.6640625" style="2" customWidth="1"/>
    <col min="1548" max="1548" width="5.6640625" style="2" customWidth="1"/>
    <col min="1549" max="1549" width="3.6640625" style="2" customWidth="1"/>
    <col min="1550" max="1791" width="9" style="2"/>
    <col min="1792" max="1792" width="3" style="2" customWidth="1"/>
    <col min="1793" max="1793" width="2.77734375" style="2" customWidth="1"/>
    <col min="1794" max="1794" width="14.6640625" style="2" customWidth="1"/>
    <col min="1795" max="1795" width="28" style="2" customWidth="1"/>
    <col min="1796" max="1796" width="31.109375" style="2" customWidth="1"/>
    <col min="1797" max="1797" width="24.109375" style="2" customWidth="1"/>
    <col min="1798" max="1798" width="30.77734375" style="2" customWidth="1"/>
    <col min="1799" max="1803" width="3.6640625" style="2" customWidth="1"/>
    <col min="1804" max="1804" width="5.6640625" style="2" customWidth="1"/>
    <col min="1805" max="1805" width="3.6640625" style="2" customWidth="1"/>
    <col min="1806" max="2047" width="9" style="2"/>
    <col min="2048" max="2048" width="3" style="2" customWidth="1"/>
    <col min="2049" max="2049" width="2.77734375" style="2" customWidth="1"/>
    <col min="2050" max="2050" width="14.6640625" style="2" customWidth="1"/>
    <col min="2051" max="2051" width="28" style="2" customWidth="1"/>
    <col min="2052" max="2052" width="31.109375" style="2" customWidth="1"/>
    <col min="2053" max="2053" width="24.109375" style="2" customWidth="1"/>
    <col min="2054" max="2054" width="30.77734375" style="2" customWidth="1"/>
    <col min="2055" max="2059" width="3.6640625" style="2" customWidth="1"/>
    <col min="2060" max="2060" width="5.6640625" style="2" customWidth="1"/>
    <col min="2061" max="2061" width="3.6640625" style="2" customWidth="1"/>
    <col min="2062" max="2303" width="9" style="2"/>
    <col min="2304" max="2304" width="3" style="2" customWidth="1"/>
    <col min="2305" max="2305" width="2.77734375" style="2" customWidth="1"/>
    <col min="2306" max="2306" width="14.6640625" style="2" customWidth="1"/>
    <col min="2307" max="2307" width="28" style="2" customWidth="1"/>
    <col min="2308" max="2308" width="31.109375" style="2" customWidth="1"/>
    <col min="2309" max="2309" width="24.109375" style="2" customWidth="1"/>
    <col min="2310" max="2310" width="30.77734375" style="2" customWidth="1"/>
    <col min="2311" max="2315" width="3.6640625" style="2" customWidth="1"/>
    <col min="2316" max="2316" width="5.6640625" style="2" customWidth="1"/>
    <col min="2317" max="2317" width="3.6640625" style="2" customWidth="1"/>
    <col min="2318" max="2559" width="9" style="2"/>
    <col min="2560" max="2560" width="3" style="2" customWidth="1"/>
    <col min="2561" max="2561" width="2.77734375" style="2" customWidth="1"/>
    <col min="2562" max="2562" width="14.6640625" style="2" customWidth="1"/>
    <col min="2563" max="2563" width="28" style="2" customWidth="1"/>
    <col min="2564" max="2564" width="31.109375" style="2" customWidth="1"/>
    <col min="2565" max="2565" width="24.109375" style="2" customWidth="1"/>
    <col min="2566" max="2566" width="30.77734375" style="2" customWidth="1"/>
    <col min="2567" max="2571" width="3.6640625" style="2" customWidth="1"/>
    <col min="2572" max="2572" width="5.6640625" style="2" customWidth="1"/>
    <col min="2573" max="2573" width="3.6640625" style="2" customWidth="1"/>
    <col min="2574" max="2815" width="9" style="2"/>
    <col min="2816" max="2816" width="3" style="2" customWidth="1"/>
    <col min="2817" max="2817" width="2.77734375" style="2" customWidth="1"/>
    <col min="2818" max="2818" width="14.6640625" style="2" customWidth="1"/>
    <col min="2819" max="2819" width="28" style="2" customWidth="1"/>
    <col min="2820" max="2820" width="31.109375" style="2" customWidth="1"/>
    <col min="2821" max="2821" width="24.109375" style="2" customWidth="1"/>
    <col min="2822" max="2822" width="30.77734375" style="2" customWidth="1"/>
    <col min="2823" max="2827" width="3.6640625" style="2" customWidth="1"/>
    <col min="2828" max="2828" width="5.6640625" style="2" customWidth="1"/>
    <col min="2829" max="2829" width="3.6640625" style="2" customWidth="1"/>
    <col min="2830" max="3071" width="9" style="2"/>
    <col min="3072" max="3072" width="3" style="2" customWidth="1"/>
    <col min="3073" max="3073" width="2.77734375" style="2" customWidth="1"/>
    <col min="3074" max="3074" width="14.6640625" style="2" customWidth="1"/>
    <col min="3075" max="3075" width="28" style="2" customWidth="1"/>
    <col min="3076" max="3076" width="31.109375" style="2" customWidth="1"/>
    <col min="3077" max="3077" width="24.109375" style="2" customWidth="1"/>
    <col min="3078" max="3078" width="30.77734375" style="2" customWidth="1"/>
    <col min="3079" max="3083" width="3.6640625" style="2" customWidth="1"/>
    <col min="3084" max="3084" width="5.6640625" style="2" customWidth="1"/>
    <col min="3085" max="3085" width="3.6640625" style="2" customWidth="1"/>
    <col min="3086" max="3327" width="9" style="2"/>
    <col min="3328" max="3328" width="3" style="2" customWidth="1"/>
    <col min="3329" max="3329" width="2.77734375" style="2" customWidth="1"/>
    <col min="3330" max="3330" width="14.6640625" style="2" customWidth="1"/>
    <col min="3331" max="3331" width="28" style="2" customWidth="1"/>
    <col min="3332" max="3332" width="31.109375" style="2" customWidth="1"/>
    <col min="3333" max="3333" width="24.109375" style="2" customWidth="1"/>
    <col min="3334" max="3334" width="30.77734375" style="2" customWidth="1"/>
    <col min="3335" max="3339" width="3.6640625" style="2" customWidth="1"/>
    <col min="3340" max="3340" width="5.6640625" style="2" customWidth="1"/>
    <col min="3341" max="3341" width="3.6640625" style="2" customWidth="1"/>
    <col min="3342" max="3583" width="9" style="2"/>
    <col min="3584" max="3584" width="3" style="2" customWidth="1"/>
    <col min="3585" max="3585" width="2.77734375" style="2" customWidth="1"/>
    <col min="3586" max="3586" width="14.6640625" style="2" customWidth="1"/>
    <col min="3587" max="3587" width="28" style="2" customWidth="1"/>
    <col min="3588" max="3588" width="31.109375" style="2" customWidth="1"/>
    <col min="3589" max="3589" width="24.109375" style="2" customWidth="1"/>
    <col min="3590" max="3590" width="30.77734375" style="2" customWidth="1"/>
    <col min="3591" max="3595" width="3.6640625" style="2" customWidth="1"/>
    <col min="3596" max="3596" width="5.6640625" style="2" customWidth="1"/>
    <col min="3597" max="3597" width="3.6640625" style="2" customWidth="1"/>
    <col min="3598" max="3839" width="9" style="2"/>
    <col min="3840" max="3840" width="3" style="2" customWidth="1"/>
    <col min="3841" max="3841" width="2.77734375" style="2" customWidth="1"/>
    <col min="3842" max="3842" width="14.6640625" style="2" customWidth="1"/>
    <col min="3843" max="3843" width="28" style="2" customWidth="1"/>
    <col min="3844" max="3844" width="31.109375" style="2" customWidth="1"/>
    <col min="3845" max="3845" width="24.109375" style="2" customWidth="1"/>
    <col min="3846" max="3846" width="30.77734375" style="2" customWidth="1"/>
    <col min="3847" max="3851" width="3.6640625" style="2" customWidth="1"/>
    <col min="3852" max="3852" width="5.6640625" style="2" customWidth="1"/>
    <col min="3853" max="3853" width="3.6640625" style="2" customWidth="1"/>
    <col min="3854" max="4095" width="9" style="2"/>
    <col min="4096" max="4096" width="3" style="2" customWidth="1"/>
    <col min="4097" max="4097" width="2.77734375" style="2" customWidth="1"/>
    <col min="4098" max="4098" width="14.6640625" style="2" customWidth="1"/>
    <col min="4099" max="4099" width="28" style="2" customWidth="1"/>
    <col min="4100" max="4100" width="31.109375" style="2" customWidth="1"/>
    <col min="4101" max="4101" width="24.109375" style="2" customWidth="1"/>
    <col min="4102" max="4102" width="30.77734375" style="2" customWidth="1"/>
    <col min="4103" max="4107" width="3.6640625" style="2" customWidth="1"/>
    <col min="4108" max="4108" width="5.6640625" style="2" customWidth="1"/>
    <col min="4109" max="4109" width="3.6640625" style="2" customWidth="1"/>
    <col min="4110" max="4351" width="9" style="2"/>
    <col min="4352" max="4352" width="3" style="2" customWidth="1"/>
    <col min="4353" max="4353" width="2.77734375" style="2" customWidth="1"/>
    <col min="4354" max="4354" width="14.6640625" style="2" customWidth="1"/>
    <col min="4355" max="4355" width="28" style="2" customWidth="1"/>
    <col min="4356" max="4356" width="31.109375" style="2" customWidth="1"/>
    <col min="4357" max="4357" width="24.109375" style="2" customWidth="1"/>
    <col min="4358" max="4358" width="30.77734375" style="2" customWidth="1"/>
    <col min="4359" max="4363" width="3.6640625" style="2" customWidth="1"/>
    <col min="4364" max="4364" width="5.6640625" style="2" customWidth="1"/>
    <col min="4365" max="4365" width="3.6640625" style="2" customWidth="1"/>
    <col min="4366" max="4607" width="9" style="2"/>
    <col min="4608" max="4608" width="3" style="2" customWidth="1"/>
    <col min="4609" max="4609" width="2.77734375" style="2" customWidth="1"/>
    <col min="4610" max="4610" width="14.6640625" style="2" customWidth="1"/>
    <col min="4611" max="4611" width="28" style="2" customWidth="1"/>
    <col min="4612" max="4612" width="31.109375" style="2" customWidth="1"/>
    <col min="4613" max="4613" width="24.109375" style="2" customWidth="1"/>
    <col min="4614" max="4614" width="30.77734375" style="2" customWidth="1"/>
    <col min="4615" max="4619" width="3.6640625" style="2" customWidth="1"/>
    <col min="4620" max="4620" width="5.6640625" style="2" customWidth="1"/>
    <col min="4621" max="4621" width="3.6640625" style="2" customWidth="1"/>
    <col min="4622" max="4863" width="9" style="2"/>
    <col min="4864" max="4864" width="3" style="2" customWidth="1"/>
    <col min="4865" max="4865" width="2.77734375" style="2" customWidth="1"/>
    <col min="4866" max="4866" width="14.6640625" style="2" customWidth="1"/>
    <col min="4867" max="4867" width="28" style="2" customWidth="1"/>
    <col min="4868" max="4868" width="31.109375" style="2" customWidth="1"/>
    <col min="4869" max="4869" width="24.109375" style="2" customWidth="1"/>
    <col min="4870" max="4870" width="30.77734375" style="2" customWidth="1"/>
    <col min="4871" max="4875" width="3.6640625" style="2" customWidth="1"/>
    <col min="4876" max="4876" width="5.6640625" style="2" customWidth="1"/>
    <col min="4877" max="4877" width="3.6640625" style="2" customWidth="1"/>
    <col min="4878" max="5119" width="9" style="2"/>
    <col min="5120" max="5120" width="3" style="2" customWidth="1"/>
    <col min="5121" max="5121" width="2.77734375" style="2" customWidth="1"/>
    <col min="5122" max="5122" width="14.6640625" style="2" customWidth="1"/>
    <col min="5123" max="5123" width="28" style="2" customWidth="1"/>
    <col min="5124" max="5124" width="31.109375" style="2" customWidth="1"/>
    <col min="5125" max="5125" width="24.109375" style="2" customWidth="1"/>
    <col min="5126" max="5126" width="30.77734375" style="2" customWidth="1"/>
    <col min="5127" max="5131" width="3.6640625" style="2" customWidth="1"/>
    <col min="5132" max="5132" width="5.6640625" style="2" customWidth="1"/>
    <col min="5133" max="5133" width="3.6640625" style="2" customWidth="1"/>
    <col min="5134" max="5375" width="9" style="2"/>
    <col min="5376" max="5376" width="3" style="2" customWidth="1"/>
    <col min="5377" max="5377" width="2.77734375" style="2" customWidth="1"/>
    <col min="5378" max="5378" width="14.6640625" style="2" customWidth="1"/>
    <col min="5379" max="5379" width="28" style="2" customWidth="1"/>
    <col min="5380" max="5380" width="31.109375" style="2" customWidth="1"/>
    <col min="5381" max="5381" width="24.109375" style="2" customWidth="1"/>
    <col min="5382" max="5382" width="30.77734375" style="2" customWidth="1"/>
    <col min="5383" max="5387" width="3.6640625" style="2" customWidth="1"/>
    <col min="5388" max="5388" width="5.6640625" style="2" customWidth="1"/>
    <col min="5389" max="5389" width="3.6640625" style="2" customWidth="1"/>
    <col min="5390" max="5631" width="9" style="2"/>
    <col min="5632" max="5632" width="3" style="2" customWidth="1"/>
    <col min="5633" max="5633" width="2.77734375" style="2" customWidth="1"/>
    <col min="5634" max="5634" width="14.6640625" style="2" customWidth="1"/>
    <col min="5635" max="5635" width="28" style="2" customWidth="1"/>
    <col min="5636" max="5636" width="31.109375" style="2" customWidth="1"/>
    <col min="5637" max="5637" width="24.109375" style="2" customWidth="1"/>
    <col min="5638" max="5638" width="30.77734375" style="2" customWidth="1"/>
    <col min="5639" max="5643" width="3.6640625" style="2" customWidth="1"/>
    <col min="5644" max="5644" width="5.6640625" style="2" customWidth="1"/>
    <col min="5645" max="5645" width="3.6640625" style="2" customWidth="1"/>
    <col min="5646" max="5887" width="9" style="2"/>
    <col min="5888" max="5888" width="3" style="2" customWidth="1"/>
    <col min="5889" max="5889" width="2.77734375" style="2" customWidth="1"/>
    <col min="5890" max="5890" width="14.6640625" style="2" customWidth="1"/>
    <col min="5891" max="5891" width="28" style="2" customWidth="1"/>
    <col min="5892" max="5892" width="31.109375" style="2" customWidth="1"/>
    <col min="5893" max="5893" width="24.109375" style="2" customWidth="1"/>
    <col min="5894" max="5894" width="30.77734375" style="2" customWidth="1"/>
    <col min="5895" max="5899" width="3.6640625" style="2" customWidth="1"/>
    <col min="5900" max="5900" width="5.6640625" style="2" customWidth="1"/>
    <col min="5901" max="5901" width="3.6640625" style="2" customWidth="1"/>
    <col min="5902" max="6143" width="9" style="2"/>
    <col min="6144" max="6144" width="3" style="2" customWidth="1"/>
    <col min="6145" max="6145" width="2.77734375" style="2" customWidth="1"/>
    <col min="6146" max="6146" width="14.6640625" style="2" customWidth="1"/>
    <col min="6147" max="6147" width="28" style="2" customWidth="1"/>
    <col min="6148" max="6148" width="31.109375" style="2" customWidth="1"/>
    <col min="6149" max="6149" width="24.109375" style="2" customWidth="1"/>
    <col min="6150" max="6150" width="30.77734375" style="2" customWidth="1"/>
    <col min="6151" max="6155" width="3.6640625" style="2" customWidth="1"/>
    <col min="6156" max="6156" width="5.6640625" style="2" customWidth="1"/>
    <col min="6157" max="6157" width="3.6640625" style="2" customWidth="1"/>
    <col min="6158" max="6399" width="9" style="2"/>
    <col min="6400" max="6400" width="3" style="2" customWidth="1"/>
    <col min="6401" max="6401" width="2.77734375" style="2" customWidth="1"/>
    <col min="6402" max="6402" width="14.6640625" style="2" customWidth="1"/>
    <col min="6403" max="6403" width="28" style="2" customWidth="1"/>
    <col min="6404" max="6404" width="31.109375" style="2" customWidth="1"/>
    <col min="6405" max="6405" width="24.109375" style="2" customWidth="1"/>
    <col min="6406" max="6406" width="30.77734375" style="2" customWidth="1"/>
    <col min="6407" max="6411" width="3.6640625" style="2" customWidth="1"/>
    <col min="6412" max="6412" width="5.6640625" style="2" customWidth="1"/>
    <col min="6413" max="6413" width="3.6640625" style="2" customWidth="1"/>
    <col min="6414" max="6655" width="9" style="2"/>
    <col min="6656" max="6656" width="3" style="2" customWidth="1"/>
    <col min="6657" max="6657" width="2.77734375" style="2" customWidth="1"/>
    <col min="6658" max="6658" width="14.6640625" style="2" customWidth="1"/>
    <col min="6659" max="6659" width="28" style="2" customWidth="1"/>
    <col min="6660" max="6660" width="31.109375" style="2" customWidth="1"/>
    <col min="6661" max="6661" width="24.109375" style="2" customWidth="1"/>
    <col min="6662" max="6662" width="30.77734375" style="2" customWidth="1"/>
    <col min="6663" max="6667" width="3.6640625" style="2" customWidth="1"/>
    <col min="6668" max="6668" width="5.6640625" style="2" customWidth="1"/>
    <col min="6669" max="6669" width="3.6640625" style="2" customWidth="1"/>
    <col min="6670" max="6911" width="9" style="2"/>
    <col min="6912" max="6912" width="3" style="2" customWidth="1"/>
    <col min="6913" max="6913" width="2.77734375" style="2" customWidth="1"/>
    <col min="6914" max="6914" width="14.6640625" style="2" customWidth="1"/>
    <col min="6915" max="6915" width="28" style="2" customWidth="1"/>
    <col min="6916" max="6916" width="31.109375" style="2" customWidth="1"/>
    <col min="6917" max="6917" width="24.109375" style="2" customWidth="1"/>
    <col min="6918" max="6918" width="30.77734375" style="2" customWidth="1"/>
    <col min="6919" max="6923" width="3.6640625" style="2" customWidth="1"/>
    <col min="6924" max="6924" width="5.6640625" style="2" customWidth="1"/>
    <col min="6925" max="6925" width="3.6640625" style="2" customWidth="1"/>
    <col min="6926" max="7167" width="9" style="2"/>
    <col min="7168" max="7168" width="3" style="2" customWidth="1"/>
    <col min="7169" max="7169" width="2.77734375" style="2" customWidth="1"/>
    <col min="7170" max="7170" width="14.6640625" style="2" customWidth="1"/>
    <col min="7171" max="7171" width="28" style="2" customWidth="1"/>
    <col min="7172" max="7172" width="31.109375" style="2" customWidth="1"/>
    <col min="7173" max="7173" width="24.109375" style="2" customWidth="1"/>
    <col min="7174" max="7174" width="30.77734375" style="2" customWidth="1"/>
    <col min="7175" max="7179" width="3.6640625" style="2" customWidth="1"/>
    <col min="7180" max="7180" width="5.6640625" style="2" customWidth="1"/>
    <col min="7181" max="7181" width="3.6640625" style="2" customWidth="1"/>
    <col min="7182" max="7423" width="9" style="2"/>
    <col min="7424" max="7424" width="3" style="2" customWidth="1"/>
    <col min="7425" max="7425" width="2.77734375" style="2" customWidth="1"/>
    <col min="7426" max="7426" width="14.6640625" style="2" customWidth="1"/>
    <col min="7427" max="7427" width="28" style="2" customWidth="1"/>
    <col min="7428" max="7428" width="31.109375" style="2" customWidth="1"/>
    <col min="7429" max="7429" width="24.109375" style="2" customWidth="1"/>
    <col min="7430" max="7430" width="30.77734375" style="2" customWidth="1"/>
    <col min="7431" max="7435" width="3.6640625" style="2" customWidth="1"/>
    <col min="7436" max="7436" width="5.6640625" style="2" customWidth="1"/>
    <col min="7437" max="7437" width="3.6640625" style="2" customWidth="1"/>
    <col min="7438" max="7679" width="9" style="2"/>
    <col min="7680" max="7680" width="3" style="2" customWidth="1"/>
    <col min="7681" max="7681" width="2.77734375" style="2" customWidth="1"/>
    <col min="7682" max="7682" width="14.6640625" style="2" customWidth="1"/>
    <col min="7683" max="7683" width="28" style="2" customWidth="1"/>
    <col min="7684" max="7684" width="31.109375" style="2" customWidth="1"/>
    <col min="7685" max="7685" width="24.109375" style="2" customWidth="1"/>
    <col min="7686" max="7686" width="30.77734375" style="2" customWidth="1"/>
    <col min="7687" max="7691" width="3.6640625" style="2" customWidth="1"/>
    <col min="7692" max="7692" width="5.6640625" style="2" customWidth="1"/>
    <col min="7693" max="7693" width="3.6640625" style="2" customWidth="1"/>
    <col min="7694" max="7935" width="9" style="2"/>
    <col min="7936" max="7936" width="3" style="2" customWidth="1"/>
    <col min="7937" max="7937" width="2.77734375" style="2" customWidth="1"/>
    <col min="7938" max="7938" width="14.6640625" style="2" customWidth="1"/>
    <col min="7939" max="7939" width="28" style="2" customWidth="1"/>
    <col min="7940" max="7940" width="31.109375" style="2" customWidth="1"/>
    <col min="7941" max="7941" width="24.109375" style="2" customWidth="1"/>
    <col min="7942" max="7942" width="30.77734375" style="2" customWidth="1"/>
    <col min="7943" max="7947" width="3.6640625" style="2" customWidth="1"/>
    <col min="7948" max="7948" width="5.6640625" style="2" customWidth="1"/>
    <col min="7949" max="7949" width="3.6640625" style="2" customWidth="1"/>
    <col min="7950" max="8191" width="9" style="2"/>
    <col min="8192" max="8192" width="3" style="2" customWidth="1"/>
    <col min="8193" max="8193" width="2.77734375" style="2" customWidth="1"/>
    <col min="8194" max="8194" width="14.6640625" style="2" customWidth="1"/>
    <col min="8195" max="8195" width="28" style="2" customWidth="1"/>
    <col min="8196" max="8196" width="31.109375" style="2" customWidth="1"/>
    <col min="8197" max="8197" width="24.109375" style="2" customWidth="1"/>
    <col min="8198" max="8198" width="30.77734375" style="2" customWidth="1"/>
    <col min="8199" max="8203" width="3.6640625" style="2" customWidth="1"/>
    <col min="8204" max="8204" width="5.6640625" style="2" customWidth="1"/>
    <col min="8205" max="8205" width="3.6640625" style="2" customWidth="1"/>
    <col min="8206" max="8447" width="9" style="2"/>
    <col min="8448" max="8448" width="3" style="2" customWidth="1"/>
    <col min="8449" max="8449" width="2.77734375" style="2" customWidth="1"/>
    <col min="8450" max="8450" width="14.6640625" style="2" customWidth="1"/>
    <col min="8451" max="8451" width="28" style="2" customWidth="1"/>
    <col min="8452" max="8452" width="31.109375" style="2" customWidth="1"/>
    <col min="8453" max="8453" width="24.109375" style="2" customWidth="1"/>
    <col min="8454" max="8454" width="30.77734375" style="2" customWidth="1"/>
    <col min="8455" max="8459" width="3.6640625" style="2" customWidth="1"/>
    <col min="8460" max="8460" width="5.6640625" style="2" customWidth="1"/>
    <col min="8461" max="8461" width="3.6640625" style="2" customWidth="1"/>
    <col min="8462" max="8703" width="9" style="2"/>
    <col min="8704" max="8704" width="3" style="2" customWidth="1"/>
    <col min="8705" max="8705" width="2.77734375" style="2" customWidth="1"/>
    <col min="8706" max="8706" width="14.6640625" style="2" customWidth="1"/>
    <col min="8707" max="8707" width="28" style="2" customWidth="1"/>
    <col min="8708" max="8708" width="31.109375" style="2" customWidth="1"/>
    <col min="8709" max="8709" width="24.109375" style="2" customWidth="1"/>
    <col min="8710" max="8710" width="30.77734375" style="2" customWidth="1"/>
    <col min="8711" max="8715" width="3.6640625" style="2" customWidth="1"/>
    <col min="8716" max="8716" width="5.6640625" style="2" customWidth="1"/>
    <col min="8717" max="8717" width="3.6640625" style="2" customWidth="1"/>
    <col min="8718" max="8959" width="9" style="2"/>
    <col min="8960" max="8960" width="3" style="2" customWidth="1"/>
    <col min="8961" max="8961" width="2.77734375" style="2" customWidth="1"/>
    <col min="8962" max="8962" width="14.6640625" style="2" customWidth="1"/>
    <col min="8963" max="8963" width="28" style="2" customWidth="1"/>
    <col min="8964" max="8964" width="31.109375" style="2" customWidth="1"/>
    <col min="8965" max="8965" width="24.109375" style="2" customWidth="1"/>
    <col min="8966" max="8966" width="30.77734375" style="2" customWidth="1"/>
    <col min="8967" max="8971" width="3.6640625" style="2" customWidth="1"/>
    <col min="8972" max="8972" width="5.6640625" style="2" customWidth="1"/>
    <col min="8973" max="8973" width="3.6640625" style="2" customWidth="1"/>
    <col min="8974" max="9215" width="9" style="2"/>
    <col min="9216" max="9216" width="3" style="2" customWidth="1"/>
    <col min="9217" max="9217" width="2.77734375" style="2" customWidth="1"/>
    <col min="9218" max="9218" width="14.6640625" style="2" customWidth="1"/>
    <col min="9219" max="9219" width="28" style="2" customWidth="1"/>
    <col min="9220" max="9220" width="31.109375" style="2" customWidth="1"/>
    <col min="9221" max="9221" width="24.109375" style="2" customWidth="1"/>
    <col min="9222" max="9222" width="30.77734375" style="2" customWidth="1"/>
    <col min="9223" max="9227" width="3.6640625" style="2" customWidth="1"/>
    <col min="9228" max="9228" width="5.6640625" style="2" customWidth="1"/>
    <col min="9229" max="9229" width="3.6640625" style="2" customWidth="1"/>
    <col min="9230" max="9471" width="9" style="2"/>
    <col min="9472" max="9472" width="3" style="2" customWidth="1"/>
    <col min="9473" max="9473" width="2.77734375" style="2" customWidth="1"/>
    <col min="9474" max="9474" width="14.6640625" style="2" customWidth="1"/>
    <col min="9475" max="9475" width="28" style="2" customWidth="1"/>
    <col min="9476" max="9476" width="31.109375" style="2" customWidth="1"/>
    <col min="9477" max="9477" width="24.109375" style="2" customWidth="1"/>
    <col min="9478" max="9478" width="30.77734375" style="2" customWidth="1"/>
    <col min="9479" max="9483" width="3.6640625" style="2" customWidth="1"/>
    <col min="9484" max="9484" width="5.6640625" style="2" customWidth="1"/>
    <col min="9485" max="9485" width="3.6640625" style="2" customWidth="1"/>
    <col min="9486" max="9727" width="9" style="2"/>
    <col min="9728" max="9728" width="3" style="2" customWidth="1"/>
    <col min="9729" max="9729" width="2.77734375" style="2" customWidth="1"/>
    <col min="9730" max="9730" width="14.6640625" style="2" customWidth="1"/>
    <col min="9731" max="9731" width="28" style="2" customWidth="1"/>
    <col min="9732" max="9732" width="31.109375" style="2" customWidth="1"/>
    <col min="9733" max="9733" width="24.109375" style="2" customWidth="1"/>
    <col min="9734" max="9734" width="30.77734375" style="2" customWidth="1"/>
    <col min="9735" max="9739" width="3.6640625" style="2" customWidth="1"/>
    <col min="9740" max="9740" width="5.6640625" style="2" customWidth="1"/>
    <col min="9741" max="9741" width="3.6640625" style="2" customWidth="1"/>
    <col min="9742" max="9983" width="9" style="2"/>
    <col min="9984" max="9984" width="3" style="2" customWidth="1"/>
    <col min="9985" max="9985" width="2.77734375" style="2" customWidth="1"/>
    <col min="9986" max="9986" width="14.6640625" style="2" customWidth="1"/>
    <col min="9987" max="9987" width="28" style="2" customWidth="1"/>
    <col min="9988" max="9988" width="31.109375" style="2" customWidth="1"/>
    <col min="9989" max="9989" width="24.109375" style="2" customWidth="1"/>
    <col min="9990" max="9990" width="30.77734375" style="2" customWidth="1"/>
    <col min="9991" max="9995" width="3.6640625" style="2" customWidth="1"/>
    <col min="9996" max="9996" width="5.6640625" style="2" customWidth="1"/>
    <col min="9997" max="9997" width="3.6640625" style="2" customWidth="1"/>
    <col min="9998" max="10239" width="9" style="2"/>
    <col min="10240" max="10240" width="3" style="2" customWidth="1"/>
    <col min="10241" max="10241" width="2.77734375" style="2" customWidth="1"/>
    <col min="10242" max="10242" width="14.6640625" style="2" customWidth="1"/>
    <col min="10243" max="10243" width="28" style="2" customWidth="1"/>
    <col min="10244" max="10244" width="31.109375" style="2" customWidth="1"/>
    <col min="10245" max="10245" width="24.109375" style="2" customWidth="1"/>
    <col min="10246" max="10246" width="30.77734375" style="2" customWidth="1"/>
    <col min="10247" max="10251" width="3.6640625" style="2" customWidth="1"/>
    <col min="10252" max="10252" width="5.6640625" style="2" customWidth="1"/>
    <col min="10253" max="10253" width="3.6640625" style="2" customWidth="1"/>
    <col min="10254" max="10495" width="9" style="2"/>
    <col min="10496" max="10496" width="3" style="2" customWidth="1"/>
    <col min="10497" max="10497" width="2.77734375" style="2" customWidth="1"/>
    <col min="10498" max="10498" width="14.6640625" style="2" customWidth="1"/>
    <col min="10499" max="10499" width="28" style="2" customWidth="1"/>
    <col min="10500" max="10500" width="31.109375" style="2" customWidth="1"/>
    <col min="10501" max="10501" width="24.109375" style="2" customWidth="1"/>
    <col min="10502" max="10502" width="30.77734375" style="2" customWidth="1"/>
    <col min="10503" max="10507" width="3.6640625" style="2" customWidth="1"/>
    <col min="10508" max="10508" width="5.6640625" style="2" customWidth="1"/>
    <col min="10509" max="10509" width="3.6640625" style="2" customWidth="1"/>
    <col min="10510" max="10751" width="9" style="2"/>
    <col min="10752" max="10752" width="3" style="2" customWidth="1"/>
    <col min="10753" max="10753" width="2.77734375" style="2" customWidth="1"/>
    <col min="10754" max="10754" width="14.6640625" style="2" customWidth="1"/>
    <col min="10755" max="10755" width="28" style="2" customWidth="1"/>
    <col min="10756" max="10756" width="31.109375" style="2" customWidth="1"/>
    <col min="10757" max="10757" width="24.109375" style="2" customWidth="1"/>
    <col min="10758" max="10758" width="30.77734375" style="2" customWidth="1"/>
    <col min="10759" max="10763" width="3.6640625" style="2" customWidth="1"/>
    <col min="10764" max="10764" width="5.6640625" style="2" customWidth="1"/>
    <col min="10765" max="10765" width="3.6640625" style="2" customWidth="1"/>
    <col min="10766" max="11007" width="9" style="2"/>
    <col min="11008" max="11008" width="3" style="2" customWidth="1"/>
    <col min="11009" max="11009" width="2.77734375" style="2" customWidth="1"/>
    <col min="11010" max="11010" width="14.6640625" style="2" customWidth="1"/>
    <col min="11011" max="11011" width="28" style="2" customWidth="1"/>
    <col min="11012" max="11012" width="31.109375" style="2" customWidth="1"/>
    <col min="11013" max="11013" width="24.109375" style="2" customWidth="1"/>
    <col min="11014" max="11014" width="30.77734375" style="2" customWidth="1"/>
    <col min="11015" max="11019" width="3.6640625" style="2" customWidth="1"/>
    <col min="11020" max="11020" width="5.6640625" style="2" customWidth="1"/>
    <col min="11021" max="11021" width="3.6640625" style="2" customWidth="1"/>
    <col min="11022" max="11263" width="9" style="2"/>
    <col min="11264" max="11264" width="3" style="2" customWidth="1"/>
    <col min="11265" max="11265" width="2.77734375" style="2" customWidth="1"/>
    <col min="11266" max="11266" width="14.6640625" style="2" customWidth="1"/>
    <col min="11267" max="11267" width="28" style="2" customWidth="1"/>
    <col min="11268" max="11268" width="31.109375" style="2" customWidth="1"/>
    <col min="11269" max="11269" width="24.109375" style="2" customWidth="1"/>
    <col min="11270" max="11270" width="30.77734375" style="2" customWidth="1"/>
    <col min="11271" max="11275" width="3.6640625" style="2" customWidth="1"/>
    <col min="11276" max="11276" width="5.6640625" style="2" customWidth="1"/>
    <col min="11277" max="11277" width="3.6640625" style="2" customWidth="1"/>
    <col min="11278" max="11519" width="9" style="2"/>
    <col min="11520" max="11520" width="3" style="2" customWidth="1"/>
    <col min="11521" max="11521" width="2.77734375" style="2" customWidth="1"/>
    <col min="11522" max="11522" width="14.6640625" style="2" customWidth="1"/>
    <col min="11523" max="11523" width="28" style="2" customWidth="1"/>
    <col min="11524" max="11524" width="31.109375" style="2" customWidth="1"/>
    <col min="11525" max="11525" width="24.109375" style="2" customWidth="1"/>
    <col min="11526" max="11526" width="30.77734375" style="2" customWidth="1"/>
    <col min="11527" max="11531" width="3.6640625" style="2" customWidth="1"/>
    <col min="11532" max="11532" width="5.6640625" style="2" customWidth="1"/>
    <col min="11533" max="11533" width="3.6640625" style="2" customWidth="1"/>
    <col min="11534" max="11775" width="9" style="2"/>
    <col min="11776" max="11776" width="3" style="2" customWidth="1"/>
    <col min="11777" max="11777" width="2.77734375" style="2" customWidth="1"/>
    <col min="11778" max="11778" width="14.6640625" style="2" customWidth="1"/>
    <col min="11779" max="11779" width="28" style="2" customWidth="1"/>
    <col min="11780" max="11780" width="31.109375" style="2" customWidth="1"/>
    <col min="11781" max="11781" width="24.109375" style="2" customWidth="1"/>
    <col min="11782" max="11782" width="30.77734375" style="2" customWidth="1"/>
    <col min="11783" max="11787" width="3.6640625" style="2" customWidth="1"/>
    <col min="11788" max="11788" width="5.6640625" style="2" customWidth="1"/>
    <col min="11789" max="11789" width="3.6640625" style="2" customWidth="1"/>
    <col min="11790" max="12031" width="9" style="2"/>
    <col min="12032" max="12032" width="3" style="2" customWidth="1"/>
    <col min="12033" max="12033" width="2.77734375" style="2" customWidth="1"/>
    <col min="12034" max="12034" width="14.6640625" style="2" customWidth="1"/>
    <col min="12035" max="12035" width="28" style="2" customWidth="1"/>
    <col min="12036" max="12036" width="31.109375" style="2" customWidth="1"/>
    <col min="12037" max="12037" width="24.109375" style="2" customWidth="1"/>
    <col min="12038" max="12038" width="30.77734375" style="2" customWidth="1"/>
    <col min="12039" max="12043" width="3.6640625" style="2" customWidth="1"/>
    <col min="12044" max="12044" width="5.6640625" style="2" customWidth="1"/>
    <col min="12045" max="12045" width="3.6640625" style="2" customWidth="1"/>
    <col min="12046" max="12287" width="9" style="2"/>
    <col min="12288" max="12288" width="3" style="2" customWidth="1"/>
    <col min="12289" max="12289" width="2.77734375" style="2" customWidth="1"/>
    <col min="12290" max="12290" width="14.6640625" style="2" customWidth="1"/>
    <col min="12291" max="12291" width="28" style="2" customWidth="1"/>
    <col min="12292" max="12292" width="31.109375" style="2" customWidth="1"/>
    <col min="12293" max="12293" width="24.109375" style="2" customWidth="1"/>
    <col min="12294" max="12294" width="30.77734375" style="2" customWidth="1"/>
    <col min="12295" max="12299" width="3.6640625" style="2" customWidth="1"/>
    <col min="12300" max="12300" width="5.6640625" style="2" customWidth="1"/>
    <col min="12301" max="12301" width="3.6640625" style="2" customWidth="1"/>
    <col min="12302" max="12543" width="9" style="2"/>
    <col min="12544" max="12544" width="3" style="2" customWidth="1"/>
    <col min="12545" max="12545" width="2.77734375" style="2" customWidth="1"/>
    <col min="12546" max="12546" width="14.6640625" style="2" customWidth="1"/>
    <col min="12547" max="12547" width="28" style="2" customWidth="1"/>
    <col min="12548" max="12548" width="31.109375" style="2" customWidth="1"/>
    <col min="12549" max="12549" width="24.109375" style="2" customWidth="1"/>
    <col min="12550" max="12550" width="30.77734375" style="2" customWidth="1"/>
    <col min="12551" max="12555" width="3.6640625" style="2" customWidth="1"/>
    <col min="12556" max="12556" width="5.6640625" style="2" customWidth="1"/>
    <col min="12557" max="12557" width="3.6640625" style="2" customWidth="1"/>
    <col min="12558" max="12799" width="9" style="2"/>
    <col min="12800" max="12800" width="3" style="2" customWidth="1"/>
    <col min="12801" max="12801" width="2.77734375" style="2" customWidth="1"/>
    <col min="12802" max="12802" width="14.6640625" style="2" customWidth="1"/>
    <col min="12803" max="12803" width="28" style="2" customWidth="1"/>
    <col min="12804" max="12804" width="31.109375" style="2" customWidth="1"/>
    <col min="12805" max="12805" width="24.109375" style="2" customWidth="1"/>
    <col min="12806" max="12806" width="30.77734375" style="2" customWidth="1"/>
    <col min="12807" max="12811" width="3.6640625" style="2" customWidth="1"/>
    <col min="12812" max="12812" width="5.6640625" style="2" customWidth="1"/>
    <col min="12813" max="12813" width="3.6640625" style="2" customWidth="1"/>
    <col min="12814" max="13055" width="9" style="2"/>
    <col min="13056" max="13056" width="3" style="2" customWidth="1"/>
    <col min="13057" max="13057" width="2.77734375" style="2" customWidth="1"/>
    <col min="13058" max="13058" width="14.6640625" style="2" customWidth="1"/>
    <col min="13059" max="13059" width="28" style="2" customWidth="1"/>
    <col min="13060" max="13060" width="31.109375" style="2" customWidth="1"/>
    <col min="13061" max="13061" width="24.109375" style="2" customWidth="1"/>
    <col min="13062" max="13062" width="30.77734375" style="2" customWidth="1"/>
    <col min="13063" max="13067" width="3.6640625" style="2" customWidth="1"/>
    <col min="13068" max="13068" width="5.6640625" style="2" customWidth="1"/>
    <col min="13069" max="13069" width="3.6640625" style="2" customWidth="1"/>
    <col min="13070" max="13311" width="9" style="2"/>
    <col min="13312" max="13312" width="3" style="2" customWidth="1"/>
    <col min="13313" max="13313" width="2.77734375" style="2" customWidth="1"/>
    <col min="13314" max="13314" width="14.6640625" style="2" customWidth="1"/>
    <col min="13315" max="13315" width="28" style="2" customWidth="1"/>
    <col min="13316" max="13316" width="31.109375" style="2" customWidth="1"/>
    <col min="13317" max="13317" width="24.109375" style="2" customWidth="1"/>
    <col min="13318" max="13318" width="30.77734375" style="2" customWidth="1"/>
    <col min="13319" max="13323" width="3.6640625" style="2" customWidth="1"/>
    <col min="13324" max="13324" width="5.6640625" style="2" customWidth="1"/>
    <col min="13325" max="13325" width="3.6640625" style="2" customWidth="1"/>
    <col min="13326" max="13567" width="9" style="2"/>
    <col min="13568" max="13568" width="3" style="2" customWidth="1"/>
    <col min="13569" max="13569" width="2.77734375" style="2" customWidth="1"/>
    <col min="13570" max="13570" width="14.6640625" style="2" customWidth="1"/>
    <col min="13571" max="13571" width="28" style="2" customWidth="1"/>
    <col min="13572" max="13572" width="31.109375" style="2" customWidth="1"/>
    <col min="13573" max="13573" width="24.109375" style="2" customWidth="1"/>
    <col min="13574" max="13574" width="30.77734375" style="2" customWidth="1"/>
    <col min="13575" max="13579" width="3.6640625" style="2" customWidth="1"/>
    <col min="13580" max="13580" width="5.6640625" style="2" customWidth="1"/>
    <col min="13581" max="13581" width="3.6640625" style="2" customWidth="1"/>
    <col min="13582" max="13823" width="9" style="2"/>
    <col min="13824" max="13824" width="3" style="2" customWidth="1"/>
    <col min="13825" max="13825" width="2.77734375" style="2" customWidth="1"/>
    <col min="13826" max="13826" width="14.6640625" style="2" customWidth="1"/>
    <col min="13827" max="13827" width="28" style="2" customWidth="1"/>
    <col min="13828" max="13828" width="31.109375" style="2" customWidth="1"/>
    <col min="13829" max="13829" width="24.109375" style="2" customWidth="1"/>
    <col min="13830" max="13830" width="30.77734375" style="2" customWidth="1"/>
    <col min="13831" max="13835" width="3.6640625" style="2" customWidth="1"/>
    <col min="13836" max="13836" width="5.6640625" style="2" customWidth="1"/>
    <col min="13837" max="13837" width="3.6640625" style="2" customWidth="1"/>
    <col min="13838" max="14079" width="9" style="2"/>
    <col min="14080" max="14080" width="3" style="2" customWidth="1"/>
    <col min="14081" max="14081" width="2.77734375" style="2" customWidth="1"/>
    <col min="14082" max="14082" width="14.6640625" style="2" customWidth="1"/>
    <col min="14083" max="14083" width="28" style="2" customWidth="1"/>
    <col min="14084" max="14084" width="31.109375" style="2" customWidth="1"/>
    <col min="14085" max="14085" width="24.109375" style="2" customWidth="1"/>
    <col min="14086" max="14086" width="30.77734375" style="2" customWidth="1"/>
    <col min="14087" max="14091" width="3.6640625" style="2" customWidth="1"/>
    <col min="14092" max="14092" width="5.6640625" style="2" customWidth="1"/>
    <col min="14093" max="14093" width="3.6640625" style="2" customWidth="1"/>
    <col min="14094" max="14335" width="9" style="2"/>
    <col min="14336" max="14336" width="3" style="2" customWidth="1"/>
    <col min="14337" max="14337" width="2.77734375" style="2" customWidth="1"/>
    <col min="14338" max="14338" width="14.6640625" style="2" customWidth="1"/>
    <col min="14339" max="14339" width="28" style="2" customWidth="1"/>
    <col min="14340" max="14340" width="31.109375" style="2" customWidth="1"/>
    <col min="14341" max="14341" width="24.109375" style="2" customWidth="1"/>
    <col min="14342" max="14342" width="30.77734375" style="2" customWidth="1"/>
    <col min="14343" max="14347" width="3.6640625" style="2" customWidth="1"/>
    <col min="14348" max="14348" width="5.6640625" style="2" customWidth="1"/>
    <col min="14349" max="14349" width="3.6640625" style="2" customWidth="1"/>
    <col min="14350" max="14591" width="9" style="2"/>
    <col min="14592" max="14592" width="3" style="2" customWidth="1"/>
    <col min="14593" max="14593" width="2.77734375" style="2" customWidth="1"/>
    <col min="14594" max="14594" width="14.6640625" style="2" customWidth="1"/>
    <col min="14595" max="14595" width="28" style="2" customWidth="1"/>
    <col min="14596" max="14596" width="31.109375" style="2" customWidth="1"/>
    <col min="14597" max="14597" width="24.109375" style="2" customWidth="1"/>
    <col min="14598" max="14598" width="30.77734375" style="2" customWidth="1"/>
    <col min="14599" max="14603" width="3.6640625" style="2" customWidth="1"/>
    <col min="14604" max="14604" width="5.6640625" style="2" customWidth="1"/>
    <col min="14605" max="14605" width="3.6640625" style="2" customWidth="1"/>
    <col min="14606" max="14847" width="9" style="2"/>
    <col min="14848" max="14848" width="3" style="2" customWidth="1"/>
    <col min="14849" max="14849" width="2.77734375" style="2" customWidth="1"/>
    <col min="14850" max="14850" width="14.6640625" style="2" customWidth="1"/>
    <col min="14851" max="14851" width="28" style="2" customWidth="1"/>
    <col min="14852" max="14852" width="31.109375" style="2" customWidth="1"/>
    <col min="14853" max="14853" width="24.109375" style="2" customWidth="1"/>
    <col min="14854" max="14854" width="30.77734375" style="2" customWidth="1"/>
    <col min="14855" max="14859" width="3.6640625" style="2" customWidth="1"/>
    <col min="14860" max="14860" width="5.6640625" style="2" customWidth="1"/>
    <col min="14861" max="14861" width="3.6640625" style="2" customWidth="1"/>
    <col min="14862" max="15103" width="9" style="2"/>
    <col min="15104" max="15104" width="3" style="2" customWidth="1"/>
    <col min="15105" max="15105" width="2.77734375" style="2" customWidth="1"/>
    <col min="15106" max="15106" width="14.6640625" style="2" customWidth="1"/>
    <col min="15107" max="15107" width="28" style="2" customWidth="1"/>
    <col min="15108" max="15108" width="31.109375" style="2" customWidth="1"/>
    <col min="15109" max="15109" width="24.109375" style="2" customWidth="1"/>
    <col min="15110" max="15110" width="30.77734375" style="2" customWidth="1"/>
    <col min="15111" max="15115" width="3.6640625" style="2" customWidth="1"/>
    <col min="15116" max="15116" width="5.6640625" style="2" customWidth="1"/>
    <col min="15117" max="15117" width="3.6640625" style="2" customWidth="1"/>
    <col min="15118" max="15359" width="9" style="2"/>
    <col min="15360" max="15360" width="3" style="2" customWidth="1"/>
    <col min="15361" max="15361" width="2.77734375" style="2" customWidth="1"/>
    <col min="15362" max="15362" width="14.6640625" style="2" customWidth="1"/>
    <col min="15363" max="15363" width="28" style="2" customWidth="1"/>
    <col min="15364" max="15364" width="31.109375" style="2" customWidth="1"/>
    <col min="15365" max="15365" width="24.109375" style="2" customWidth="1"/>
    <col min="15366" max="15366" width="30.77734375" style="2" customWidth="1"/>
    <col min="15367" max="15371" width="3.6640625" style="2" customWidth="1"/>
    <col min="15372" max="15372" width="5.6640625" style="2" customWidth="1"/>
    <col min="15373" max="15373" width="3.6640625" style="2" customWidth="1"/>
    <col min="15374" max="15615" width="9" style="2"/>
    <col min="15616" max="15616" width="3" style="2" customWidth="1"/>
    <col min="15617" max="15617" width="2.77734375" style="2" customWidth="1"/>
    <col min="15618" max="15618" width="14.6640625" style="2" customWidth="1"/>
    <col min="15619" max="15619" width="28" style="2" customWidth="1"/>
    <col min="15620" max="15620" width="31.109375" style="2" customWidth="1"/>
    <col min="15621" max="15621" width="24.109375" style="2" customWidth="1"/>
    <col min="15622" max="15622" width="30.77734375" style="2" customWidth="1"/>
    <col min="15623" max="15627" width="3.6640625" style="2" customWidth="1"/>
    <col min="15628" max="15628" width="5.6640625" style="2" customWidth="1"/>
    <col min="15629" max="15629" width="3.6640625" style="2" customWidth="1"/>
    <col min="15630" max="15871" width="9" style="2"/>
    <col min="15872" max="15872" width="3" style="2" customWidth="1"/>
    <col min="15873" max="15873" width="2.77734375" style="2" customWidth="1"/>
    <col min="15874" max="15874" width="14.6640625" style="2" customWidth="1"/>
    <col min="15875" max="15875" width="28" style="2" customWidth="1"/>
    <col min="15876" max="15876" width="31.109375" style="2" customWidth="1"/>
    <col min="15877" max="15877" width="24.109375" style="2" customWidth="1"/>
    <col min="15878" max="15878" width="30.77734375" style="2" customWidth="1"/>
    <col min="15879" max="15883" width="3.6640625" style="2" customWidth="1"/>
    <col min="15884" max="15884" width="5.6640625" style="2" customWidth="1"/>
    <col min="15885" max="15885" width="3.6640625" style="2" customWidth="1"/>
    <col min="15886" max="16127" width="9" style="2"/>
    <col min="16128" max="16128" width="3" style="2" customWidth="1"/>
    <col min="16129" max="16129" width="2.77734375" style="2" customWidth="1"/>
    <col min="16130" max="16130" width="14.6640625" style="2" customWidth="1"/>
    <col min="16131" max="16131" width="28" style="2" customWidth="1"/>
    <col min="16132" max="16132" width="31.109375" style="2" customWidth="1"/>
    <col min="16133" max="16133" width="24.109375" style="2" customWidth="1"/>
    <col min="16134" max="16134" width="30.77734375" style="2" customWidth="1"/>
    <col min="16135" max="16139" width="3.6640625" style="2" customWidth="1"/>
    <col min="16140" max="16140" width="5.6640625" style="2" customWidth="1"/>
    <col min="16141" max="16141" width="3.6640625" style="2" customWidth="1"/>
    <col min="16142" max="16384" width="9" style="2"/>
  </cols>
  <sheetData>
    <row r="1" spans="1:14" ht="9" customHeight="1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4" ht="9" customHeight="1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4" ht="11.25" customHeight="1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4" ht="11.25" customHeight="1" thickBot="1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4" ht="15.75" customHeight="1">
      <c r="A5" s="251" t="s">
        <v>0</v>
      </c>
      <c r="B5" s="254" t="s">
        <v>1</v>
      </c>
      <c r="C5" s="257" t="s">
        <v>2</v>
      </c>
      <c r="D5" s="260" t="s">
        <v>3</v>
      </c>
      <c r="E5" s="260" t="s">
        <v>4</v>
      </c>
      <c r="F5" s="260" t="s">
        <v>5</v>
      </c>
      <c r="G5" s="260" t="s">
        <v>6</v>
      </c>
      <c r="H5" s="223" t="s">
        <v>7</v>
      </c>
      <c r="I5" s="223" t="s">
        <v>8</v>
      </c>
      <c r="J5" s="223" t="s">
        <v>9</v>
      </c>
      <c r="K5" s="223" t="s">
        <v>10</v>
      </c>
      <c r="L5" s="223" t="s">
        <v>11</v>
      </c>
      <c r="M5" s="245" t="s">
        <v>13</v>
      </c>
    </row>
    <row r="6" spans="1:14" ht="13.5" customHeight="1">
      <c r="A6" s="252"/>
      <c r="B6" s="255"/>
      <c r="C6" s="258"/>
      <c r="D6" s="261"/>
      <c r="E6" s="261"/>
      <c r="F6" s="261"/>
      <c r="G6" s="261"/>
      <c r="H6" s="224"/>
      <c r="I6" s="224"/>
      <c r="J6" s="224"/>
      <c r="K6" s="224"/>
      <c r="L6" s="224"/>
      <c r="M6" s="246"/>
    </row>
    <row r="7" spans="1:14" ht="18" customHeight="1" thickBot="1">
      <c r="A7" s="253"/>
      <c r="B7" s="256"/>
      <c r="C7" s="259"/>
      <c r="D7" s="262"/>
      <c r="E7" s="262"/>
      <c r="F7" s="262"/>
      <c r="G7" s="262"/>
      <c r="H7" s="225"/>
      <c r="I7" s="225"/>
      <c r="J7" s="225"/>
      <c r="K7" s="225"/>
      <c r="L7" s="226"/>
      <c r="M7" s="247"/>
    </row>
    <row r="8" spans="1:14" s="70" customFormat="1" ht="30" customHeight="1">
      <c r="A8" s="7">
        <v>1</v>
      </c>
      <c r="B8" s="5" t="s">
        <v>17</v>
      </c>
      <c r="C8" s="99" t="s">
        <v>35</v>
      </c>
      <c r="D8" s="100" t="s">
        <v>156</v>
      </c>
      <c r="E8" s="100" t="s">
        <v>36</v>
      </c>
      <c r="F8" s="100" t="s">
        <v>37</v>
      </c>
      <c r="G8" s="100" t="s">
        <v>157</v>
      </c>
      <c r="H8" s="84">
        <v>5</v>
      </c>
      <c r="I8" s="73">
        <v>2</v>
      </c>
      <c r="J8" s="73">
        <v>1</v>
      </c>
      <c r="K8" s="73">
        <v>2</v>
      </c>
      <c r="L8" s="73">
        <v>1</v>
      </c>
      <c r="M8" s="86">
        <f>H8*70+I8*75+J8*25+K8*45+L8*60</f>
        <v>675</v>
      </c>
      <c r="N8" s="69"/>
    </row>
    <row r="9" spans="1:14" s="70" customFormat="1" ht="30" customHeight="1" thickBot="1">
      <c r="A9" s="7">
        <v>2</v>
      </c>
      <c r="B9" s="5" t="s">
        <v>18</v>
      </c>
      <c r="C9" s="99" t="s">
        <v>38</v>
      </c>
      <c r="D9" s="100" t="s">
        <v>40</v>
      </c>
      <c r="E9" s="100" t="s">
        <v>158</v>
      </c>
      <c r="F9" s="100" t="s">
        <v>159</v>
      </c>
      <c r="G9" s="100" t="s">
        <v>160</v>
      </c>
      <c r="H9" s="71">
        <v>4.2</v>
      </c>
      <c r="I9" s="72">
        <v>2</v>
      </c>
      <c r="J9" s="72">
        <v>1.3</v>
      </c>
      <c r="K9" s="72">
        <v>2.8</v>
      </c>
      <c r="L9" s="116">
        <v>1</v>
      </c>
      <c r="M9" s="86">
        <f t="shared" ref="M9:M10" si="0">H9*70+I9*75+J9*25+K9*45+L9*60</f>
        <v>662.5</v>
      </c>
      <c r="N9" s="76"/>
    </row>
    <row r="10" spans="1:14" s="70" customFormat="1" ht="30" customHeight="1" thickBot="1">
      <c r="A10" s="5">
        <v>3</v>
      </c>
      <c r="B10" s="5" t="s">
        <v>14</v>
      </c>
      <c r="C10" s="99" t="s">
        <v>41</v>
      </c>
      <c r="D10" s="100" t="s">
        <v>168</v>
      </c>
      <c r="E10" s="100" t="s">
        <v>190</v>
      </c>
      <c r="F10" s="101" t="s">
        <v>37</v>
      </c>
      <c r="G10" s="102" t="s">
        <v>43</v>
      </c>
      <c r="H10" s="71">
        <v>5</v>
      </c>
      <c r="I10" s="72">
        <v>2</v>
      </c>
      <c r="J10" s="72">
        <v>1</v>
      </c>
      <c r="K10" s="93">
        <v>3</v>
      </c>
      <c r="L10" s="118"/>
      <c r="M10" s="75">
        <f t="shared" si="0"/>
        <v>660</v>
      </c>
      <c r="N10" s="69"/>
    </row>
    <row r="11" spans="1:14" s="70" customFormat="1" ht="30" customHeight="1" thickBot="1">
      <c r="A11" s="3">
        <v>4</v>
      </c>
      <c r="B11" s="4" t="s">
        <v>15</v>
      </c>
      <c r="C11" s="227" t="s">
        <v>161</v>
      </c>
      <c r="D11" s="228"/>
      <c r="E11" s="228"/>
      <c r="F11" s="228"/>
      <c r="G11" s="229"/>
      <c r="H11" s="77">
        <v>5</v>
      </c>
      <c r="I11" s="78">
        <v>2</v>
      </c>
      <c r="J11" s="78">
        <v>2.8</v>
      </c>
      <c r="K11" s="79">
        <v>3</v>
      </c>
      <c r="L11" s="117">
        <v>1</v>
      </c>
      <c r="M11" s="81">
        <f>H11*70+I11*75+J11*25+K11*45+L11*60</f>
        <v>765</v>
      </c>
      <c r="N11" s="69"/>
    </row>
    <row r="12" spans="1:14" s="70" customFormat="1" ht="30" customHeight="1" thickTop="1">
      <c r="A12" s="8">
        <v>7</v>
      </c>
      <c r="B12" s="8" t="s">
        <v>16</v>
      </c>
      <c r="C12" s="95" t="s">
        <v>44</v>
      </c>
      <c r="D12" s="96" t="s">
        <v>192</v>
      </c>
      <c r="E12" s="97" t="s">
        <v>162</v>
      </c>
      <c r="F12" s="96" t="s">
        <v>37</v>
      </c>
      <c r="G12" s="98" t="s">
        <v>46</v>
      </c>
      <c r="H12" s="73">
        <v>4.8</v>
      </c>
      <c r="I12" s="73">
        <v>2</v>
      </c>
      <c r="J12" s="73">
        <v>1.3</v>
      </c>
      <c r="K12" s="73">
        <v>2.8</v>
      </c>
      <c r="L12" s="73">
        <v>1</v>
      </c>
      <c r="M12" s="83">
        <f>H12*70+I12*75+J12*25+K12*45+L12*60</f>
        <v>704.5</v>
      </c>
      <c r="N12" s="69"/>
    </row>
    <row r="13" spans="1:14" s="70" customFormat="1" ht="30" customHeight="1">
      <c r="A13" s="5">
        <v>8</v>
      </c>
      <c r="B13" s="5" t="s">
        <v>17</v>
      </c>
      <c r="C13" s="99" t="s">
        <v>35</v>
      </c>
      <c r="D13" s="100" t="s">
        <v>163</v>
      </c>
      <c r="E13" s="100" t="s">
        <v>164</v>
      </c>
      <c r="F13" s="101" t="s">
        <v>37</v>
      </c>
      <c r="G13" s="102" t="s">
        <v>47</v>
      </c>
      <c r="H13" s="71">
        <v>4.3</v>
      </c>
      <c r="I13" s="72">
        <v>2</v>
      </c>
      <c r="J13" s="72">
        <v>1</v>
      </c>
      <c r="K13" s="72">
        <v>2.2999999999999998</v>
      </c>
      <c r="L13" s="73">
        <v>1</v>
      </c>
      <c r="M13" s="83">
        <f t="shared" ref="M13" si="1">H13*70+I13*75+J13*25+K13*45+L13*60</f>
        <v>639.5</v>
      </c>
      <c r="N13" s="69"/>
    </row>
    <row r="14" spans="1:14" s="70" customFormat="1" ht="30" customHeight="1">
      <c r="A14" s="5">
        <v>9</v>
      </c>
      <c r="B14" s="5" t="s">
        <v>18</v>
      </c>
      <c r="C14" s="101" t="s">
        <v>48</v>
      </c>
      <c r="D14" s="100" t="s">
        <v>165</v>
      </c>
      <c r="E14" s="100" t="s">
        <v>166</v>
      </c>
      <c r="F14" s="100" t="s">
        <v>144</v>
      </c>
      <c r="G14" s="102" t="s">
        <v>49</v>
      </c>
      <c r="H14" s="71">
        <v>4</v>
      </c>
      <c r="I14" s="72">
        <v>2</v>
      </c>
      <c r="J14" s="72">
        <v>1.6</v>
      </c>
      <c r="K14" s="72">
        <v>2.5</v>
      </c>
      <c r="L14" s="73">
        <v>1</v>
      </c>
      <c r="M14" s="83">
        <f>H14*70+I14*75+J14*25+K14*45+L14*60</f>
        <v>642.5</v>
      </c>
      <c r="N14" s="69"/>
    </row>
    <row r="15" spans="1:14" s="70" customFormat="1" ht="30" customHeight="1" thickBot="1">
      <c r="A15" s="5">
        <v>10</v>
      </c>
      <c r="B15" s="5" t="s">
        <v>14</v>
      </c>
      <c r="C15" s="267" t="s">
        <v>167</v>
      </c>
      <c r="D15" s="231"/>
      <c r="E15" s="231"/>
      <c r="F15" s="231"/>
      <c r="G15" s="232"/>
      <c r="H15" s="72">
        <v>5</v>
      </c>
      <c r="I15" s="72">
        <v>2</v>
      </c>
      <c r="J15" s="72">
        <v>1</v>
      </c>
      <c r="K15" s="93">
        <v>3</v>
      </c>
      <c r="L15" s="68">
        <v>1</v>
      </c>
      <c r="M15" s="75">
        <f>H15*70+I15*75+J15*25+K15*45+L15*60</f>
        <v>720</v>
      </c>
      <c r="N15" s="69"/>
    </row>
    <row r="16" spans="1:14" s="70" customFormat="1" ht="30" customHeight="1" thickBot="1">
      <c r="A16" s="6">
        <v>11</v>
      </c>
      <c r="B16" s="6" t="s">
        <v>15</v>
      </c>
      <c r="C16" s="101" t="s">
        <v>50</v>
      </c>
      <c r="D16" s="101" t="s">
        <v>57</v>
      </c>
      <c r="E16" s="101" t="s">
        <v>191</v>
      </c>
      <c r="F16" s="101" t="s">
        <v>51</v>
      </c>
      <c r="G16" s="103" t="s">
        <v>169</v>
      </c>
      <c r="H16" s="84">
        <v>4.3</v>
      </c>
      <c r="I16" s="73">
        <v>2</v>
      </c>
      <c r="J16" s="73">
        <v>1.5</v>
      </c>
      <c r="K16" s="87">
        <v>2.2999999999999998</v>
      </c>
      <c r="L16" s="118"/>
      <c r="M16" s="83">
        <f>H16*70+I16*75+J16*25+K16*45+L16*60</f>
        <v>592</v>
      </c>
      <c r="N16" s="76"/>
    </row>
    <row r="17" spans="1:14" s="70" customFormat="1" ht="30" customHeight="1" thickTop="1">
      <c r="A17" s="141">
        <v>14</v>
      </c>
      <c r="B17" s="142" t="s">
        <v>16</v>
      </c>
      <c r="C17" s="143" t="s">
        <v>52</v>
      </c>
      <c r="D17" s="144" t="s">
        <v>170</v>
      </c>
      <c r="E17" s="145" t="s">
        <v>54</v>
      </c>
      <c r="F17" s="144" t="s">
        <v>37</v>
      </c>
      <c r="G17" s="146" t="s">
        <v>56</v>
      </c>
      <c r="H17" s="147">
        <v>5</v>
      </c>
      <c r="I17" s="147">
        <v>2</v>
      </c>
      <c r="J17" s="147">
        <v>1.1000000000000001</v>
      </c>
      <c r="K17" s="147">
        <v>3</v>
      </c>
      <c r="L17" s="148">
        <v>1</v>
      </c>
      <c r="M17" s="150">
        <f t="shared" ref="M17:M30" si="2">H17*70+I17*75+J17*25+K17*45+L17*60</f>
        <v>722.5</v>
      </c>
      <c r="N17" s="69"/>
    </row>
    <row r="18" spans="1:14" s="70" customFormat="1" ht="30" customHeight="1">
      <c r="A18" s="151">
        <v>15</v>
      </c>
      <c r="B18" s="152" t="s">
        <v>17</v>
      </c>
      <c r="C18" s="268" t="s">
        <v>171</v>
      </c>
      <c r="D18" s="240"/>
      <c r="E18" s="240"/>
      <c r="F18" s="240"/>
      <c r="G18" s="241"/>
      <c r="H18" s="153">
        <v>5</v>
      </c>
      <c r="I18" s="148">
        <v>2</v>
      </c>
      <c r="J18" s="148">
        <v>1</v>
      </c>
      <c r="K18" s="148">
        <v>2</v>
      </c>
      <c r="L18" s="148">
        <v>1</v>
      </c>
      <c r="M18" s="155">
        <f>H18*70+I18*75+J18*25+K18*45+L18*60</f>
        <v>675</v>
      </c>
      <c r="N18" s="69"/>
    </row>
    <row r="19" spans="1:14" s="70" customFormat="1" ht="30" customHeight="1">
      <c r="A19" s="151">
        <v>16</v>
      </c>
      <c r="B19" s="152" t="s">
        <v>18</v>
      </c>
      <c r="C19" s="171" t="s">
        <v>103</v>
      </c>
      <c r="D19" s="156" t="s">
        <v>172</v>
      </c>
      <c r="E19" s="156" t="s">
        <v>173</v>
      </c>
      <c r="F19" s="156" t="s">
        <v>149</v>
      </c>
      <c r="G19" s="156" t="s">
        <v>104</v>
      </c>
      <c r="H19" s="157">
        <v>4.2</v>
      </c>
      <c r="I19" s="158">
        <v>2</v>
      </c>
      <c r="J19" s="158">
        <v>1.3</v>
      </c>
      <c r="K19" s="158">
        <v>2.8</v>
      </c>
      <c r="L19" s="148">
        <v>1</v>
      </c>
      <c r="M19" s="155">
        <f t="shared" si="2"/>
        <v>662.5</v>
      </c>
      <c r="N19" s="76"/>
    </row>
    <row r="20" spans="1:14" s="70" customFormat="1" ht="30" customHeight="1" thickBot="1">
      <c r="A20" s="151">
        <v>17</v>
      </c>
      <c r="B20" s="152" t="s">
        <v>14</v>
      </c>
      <c r="C20" s="268" t="s">
        <v>174</v>
      </c>
      <c r="D20" s="240"/>
      <c r="E20" s="240"/>
      <c r="F20" s="240"/>
      <c r="G20" s="241"/>
      <c r="H20" s="157">
        <v>5</v>
      </c>
      <c r="I20" s="158">
        <v>2</v>
      </c>
      <c r="J20" s="158">
        <v>1.1000000000000001</v>
      </c>
      <c r="K20" s="158">
        <v>3</v>
      </c>
      <c r="L20" s="159">
        <v>1</v>
      </c>
      <c r="M20" s="161">
        <f t="shared" si="2"/>
        <v>722.5</v>
      </c>
      <c r="N20" s="69"/>
    </row>
    <row r="21" spans="1:14" s="70" customFormat="1" ht="30" customHeight="1" thickBot="1">
      <c r="A21" s="162">
        <v>18</v>
      </c>
      <c r="B21" s="163" t="s">
        <v>15</v>
      </c>
      <c r="C21" s="164" t="s">
        <v>58</v>
      </c>
      <c r="D21" s="165" t="s">
        <v>179</v>
      </c>
      <c r="E21" s="164" t="s">
        <v>59</v>
      </c>
      <c r="F21" s="165" t="s">
        <v>51</v>
      </c>
      <c r="G21" s="165" t="s">
        <v>175</v>
      </c>
      <c r="H21" s="166">
        <v>4.5999999999999996</v>
      </c>
      <c r="I21" s="166">
        <v>2</v>
      </c>
      <c r="J21" s="166">
        <v>1</v>
      </c>
      <c r="K21" s="167">
        <v>3</v>
      </c>
      <c r="L21" s="168"/>
      <c r="M21" s="170">
        <f t="shared" si="2"/>
        <v>632</v>
      </c>
      <c r="N21" s="76"/>
    </row>
    <row r="22" spans="1:14" s="70" customFormat="1" ht="30" customHeight="1" thickTop="1" thickBot="1">
      <c r="A22" s="8">
        <v>21</v>
      </c>
      <c r="B22" s="8" t="s">
        <v>16</v>
      </c>
      <c r="C22" s="233" t="s">
        <v>193</v>
      </c>
      <c r="D22" s="234"/>
      <c r="E22" s="234"/>
      <c r="F22" s="234"/>
      <c r="G22" s="235"/>
      <c r="H22" s="73">
        <v>5</v>
      </c>
      <c r="I22" s="73">
        <v>2</v>
      </c>
      <c r="J22" s="73">
        <v>1.4</v>
      </c>
      <c r="K22" s="73">
        <v>3</v>
      </c>
      <c r="L22" s="73">
        <v>1</v>
      </c>
      <c r="M22" s="83">
        <f t="shared" si="2"/>
        <v>730</v>
      </c>
      <c r="N22" s="69"/>
    </row>
    <row r="23" spans="1:14" s="70" customFormat="1" ht="30" customHeight="1" thickBot="1">
      <c r="A23" s="5">
        <v>22</v>
      </c>
      <c r="B23" s="5" t="s">
        <v>17</v>
      </c>
      <c r="C23" s="99" t="s">
        <v>35</v>
      </c>
      <c r="D23" s="100" t="s">
        <v>176</v>
      </c>
      <c r="E23" s="100" t="s">
        <v>177</v>
      </c>
      <c r="F23" s="100" t="s">
        <v>37</v>
      </c>
      <c r="G23" s="115" t="s">
        <v>74</v>
      </c>
      <c r="H23" s="84">
        <v>4.2</v>
      </c>
      <c r="I23" s="73">
        <v>2</v>
      </c>
      <c r="J23" s="73">
        <v>1</v>
      </c>
      <c r="K23" s="87">
        <v>3</v>
      </c>
      <c r="L23" s="118"/>
      <c r="M23" s="83">
        <f t="shared" si="2"/>
        <v>604</v>
      </c>
      <c r="N23" s="69"/>
    </row>
    <row r="24" spans="1:14" s="70" customFormat="1" ht="30" customHeight="1">
      <c r="A24" s="5">
        <v>23</v>
      </c>
      <c r="B24" s="5" t="s">
        <v>18</v>
      </c>
      <c r="C24" s="104" t="s">
        <v>61</v>
      </c>
      <c r="D24" s="101" t="s">
        <v>180</v>
      </c>
      <c r="E24" s="100" t="s">
        <v>178</v>
      </c>
      <c r="F24" s="100" t="s">
        <v>146</v>
      </c>
      <c r="G24" s="100" t="s">
        <v>62</v>
      </c>
      <c r="H24" s="71">
        <v>4.5</v>
      </c>
      <c r="I24" s="72">
        <v>2</v>
      </c>
      <c r="J24" s="72">
        <v>1</v>
      </c>
      <c r="K24" s="72">
        <v>2.4</v>
      </c>
      <c r="L24" s="73">
        <v>1</v>
      </c>
      <c r="M24" s="75">
        <f t="shared" si="2"/>
        <v>658</v>
      </c>
      <c r="N24" s="76"/>
    </row>
    <row r="25" spans="1:14" s="70" customFormat="1" ht="30" customHeight="1">
      <c r="A25" s="5">
        <v>24</v>
      </c>
      <c r="B25" s="5" t="s">
        <v>14</v>
      </c>
      <c r="C25" s="104" t="s">
        <v>63</v>
      </c>
      <c r="D25" s="101" t="s">
        <v>181</v>
      </c>
      <c r="E25" s="100" t="s">
        <v>65</v>
      </c>
      <c r="F25" s="100" t="s">
        <v>37</v>
      </c>
      <c r="G25" s="100" t="s">
        <v>66</v>
      </c>
      <c r="H25" s="71">
        <v>5</v>
      </c>
      <c r="I25" s="72">
        <v>2</v>
      </c>
      <c r="J25" s="72">
        <v>1</v>
      </c>
      <c r="K25" s="72">
        <v>3</v>
      </c>
      <c r="L25" s="68">
        <v>1</v>
      </c>
      <c r="M25" s="75">
        <f t="shared" si="2"/>
        <v>720</v>
      </c>
      <c r="N25" s="69"/>
    </row>
    <row r="26" spans="1:14" s="70" customFormat="1" ht="30" customHeight="1" thickBot="1">
      <c r="A26" s="3">
        <v>25</v>
      </c>
      <c r="B26" s="3" t="s">
        <v>15</v>
      </c>
      <c r="C26" s="105" t="s">
        <v>67</v>
      </c>
      <c r="D26" s="106" t="s">
        <v>70</v>
      </c>
      <c r="E26" s="106" t="s">
        <v>182</v>
      </c>
      <c r="F26" s="106" t="s">
        <v>51</v>
      </c>
      <c r="G26" s="106" t="s">
        <v>69</v>
      </c>
      <c r="H26" s="78">
        <v>4.5999999999999996</v>
      </c>
      <c r="I26" s="78">
        <v>2</v>
      </c>
      <c r="J26" s="78">
        <v>1</v>
      </c>
      <c r="K26" s="78">
        <v>3</v>
      </c>
      <c r="L26" s="78">
        <v>1</v>
      </c>
      <c r="M26" s="81">
        <f t="shared" si="2"/>
        <v>692</v>
      </c>
      <c r="N26" s="69"/>
    </row>
    <row r="27" spans="1:14" s="70" customFormat="1" ht="30" customHeight="1" thickTop="1" thickBot="1">
      <c r="A27" s="8">
        <v>28</v>
      </c>
      <c r="B27" s="8" t="s">
        <v>16</v>
      </c>
      <c r="C27" s="98" t="s">
        <v>71</v>
      </c>
      <c r="D27" s="96" t="s">
        <v>184</v>
      </c>
      <c r="E27" s="98" t="s">
        <v>183</v>
      </c>
      <c r="F27" s="96" t="s">
        <v>37</v>
      </c>
      <c r="G27" s="96" t="s">
        <v>73</v>
      </c>
      <c r="H27" s="85">
        <v>4.5</v>
      </c>
      <c r="I27" s="85">
        <v>2.1</v>
      </c>
      <c r="J27" s="85">
        <v>1</v>
      </c>
      <c r="K27" s="89">
        <v>3</v>
      </c>
      <c r="L27" s="118"/>
      <c r="M27" s="90">
        <f t="shared" si="2"/>
        <v>632.5</v>
      </c>
      <c r="N27" s="69"/>
    </row>
    <row r="28" spans="1:14" s="70" customFormat="1" ht="30" customHeight="1">
      <c r="A28" s="8">
        <v>29</v>
      </c>
      <c r="B28" s="8" t="s">
        <v>17</v>
      </c>
      <c r="C28" s="236" t="s">
        <v>142</v>
      </c>
      <c r="D28" s="237"/>
      <c r="E28" s="237"/>
      <c r="F28" s="237"/>
      <c r="G28" s="238"/>
      <c r="H28" s="84">
        <v>0</v>
      </c>
      <c r="I28" s="73">
        <v>0</v>
      </c>
      <c r="J28" s="73">
        <v>0</v>
      </c>
      <c r="K28" s="87">
        <v>0</v>
      </c>
      <c r="L28" s="73">
        <v>0</v>
      </c>
      <c r="M28" s="83">
        <f t="shared" si="2"/>
        <v>0</v>
      </c>
      <c r="N28" s="69"/>
    </row>
    <row r="29" spans="1:14" s="70" customFormat="1" ht="30" customHeight="1">
      <c r="A29" s="5">
        <v>30</v>
      </c>
      <c r="B29" s="5" t="s">
        <v>18</v>
      </c>
      <c r="C29" s="104" t="s">
        <v>48</v>
      </c>
      <c r="D29" s="101" t="s">
        <v>185</v>
      </c>
      <c r="E29" s="100" t="s">
        <v>187</v>
      </c>
      <c r="F29" s="100" t="s">
        <v>145</v>
      </c>
      <c r="G29" s="100" t="s">
        <v>186</v>
      </c>
      <c r="H29" s="71">
        <v>4.5</v>
      </c>
      <c r="I29" s="72">
        <v>2</v>
      </c>
      <c r="J29" s="72">
        <v>1</v>
      </c>
      <c r="K29" s="72">
        <v>2.4</v>
      </c>
      <c r="L29" s="73">
        <v>1</v>
      </c>
      <c r="M29" s="75">
        <f t="shared" si="2"/>
        <v>658</v>
      </c>
      <c r="N29" s="76"/>
    </row>
    <row r="30" spans="1:14" s="70" customFormat="1" ht="30" customHeight="1" thickBot="1">
      <c r="A30" s="108">
        <v>31</v>
      </c>
      <c r="B30" s="108" t="s">
        <v>14</v>
      </c>
      <c r="C30" s="109" t="s">
        <v>77</v>
      </c>
      <c r="D30" s="110" t="s">
        <v>189</v>
      </c>
      <c r="E30" s="110" t="s">
        <v>188</v>
      </c>
      <c r="F30" s="110" t="s">
        <v>37</v>
      </c>
      <c r="G30" s="110" t="s">
        <v>78</v>
      </c>
      <c r="H30" s="111">
        <v>5</v>
      </c>
      <c r="I30" s="112">
        <v>2</v>
      </c>
      <c r="J30" s="112">
        <v>1</v>
      </c>
      <c r="K30" s="112">
        <v>3</v>
      </c>
      <c r="L30" s="112">
        <v>1</v>
      </c>
      <c r="M30" s="113">
        <f t="shared" si="2"/>
        <v>720</v>
      </c>
      <c r="N30" s="69"/>
    </row>
    <row r="31" spans="1:14" ht="13.5" customHeight="1">
      <c r="A31" s="220" t="s">
        <v>19</v>
      </c>
      <c r="B31" s="221"/>
      <c r="C31" s="221"/>
      <c r="D31" s="221"/>
      <c r="E31" s="221"/>
      <c r="F31" s="222"/>
      <c r="G31" s="9" t="s">
        <v>29</v>
      </c>
      <c r="H31" s="10">
        <v>4.5</v>
      </c>
      <c r="I31" s="10">
        <v>2</v>
      </c>
      <c r="J31" s="10">
        <v>1.5</v>
      </c>
      <c r="K31" s="10">
        <v>2</v>
      </c>
      <c r="L31" s="11">
        <v>1</v>
      </c>
      <c r="M31" s="13">
        <v>650</v>
      </c>
    </row>
    <row r="32" spans="1:14" ht="13.5" customHeight="1" thickBot="1">
      <c r="A32" s="199" t="s">
        <v>20</v>
      </c>
      <c r="B32" s="200"/>
      <c r="C32" s="200"/>
      <c r="D32" s="200"/>
      <c r="E32" s="200"/>
      <c r="F32" s="201"/>
      <c r="G32" s="14" t="s">
        <v>30</v>
      </c>
      <c r="H32" s="15">
        <v>5</v>
      </c>
      <c r="I32" s="15">
        <v>2</v>
      </c>
      <c r="J32" s="15">
        <v>2</v>
      </c>
      <c r="K32" s="15">
        <v>2.5</v>
      </c>
      <c r="L32" s="15">
        <v>1</v>
      </c>
      <c r="M32" s="17">
        <v>750</v>
      </c>
    </row>
    <row r="33" spans="1:14" s="18" customFormat="1" ht="19.5" customHeight="1">
      <c r="A33" s="202" t="s">
        <v>21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4"/>
      <c r="N33" s="1"/>
    </row>
    <row r="34" spans="1:14" s="18" customFormat="1" ht="19.5" customHeight="1">
      <c r="A34" s="205" t="s">
        <v>22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1"/>
    </row>
    <row r="35" spans="1:14" s="18" customFormat="1" ht="19.5" customHeight="1">
      <c r="A35" s="205" t="s">
        <v>155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7"/>
      <c r="N35" s="1"/>
    </row>
    <row r="36" spans="1:14" s="18" customFormat="1" ht="60" customHeight="1">
      <c r="A36" s="208" t="s">
        <v>80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10"/>
      <c r="N36" s="1"/>
    </row>
    <row r="37" spans="1:14" s="18" customFormat="1" ht="16.2">
      <c r="A37" s="196" t="s">
        <v>31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8"/>
      <c r="N37" s="1"/>
    </row>
    <row r="38" spans="1:14" s="18" customFormat="1" ht="16.2">
      <c r="A38" s="196" t="s">
        <v>79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8"/>
      <c r="N38" s="1"/>
    </row>
    <row r="39" spans="1:14" s="18" customFormat="1" ht="16.2">
      <c r="A39" s="193" t="s">
        <v>23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5"/>
      <c r="N39" s="1"/>
    </row>
    <row r="40" spans="1:14" s="18" customFormat="1" ht="16.2">
      <c r="A40" s="193" t="s">
        <v>24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5"/>
      <c r="N40" s="1"/>
    </row>
    <row r="41" spans="1:14" s="18" customFormat="1" ht="16.2">
      <c r="A41" s="217" t="s">
        <v>150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9"/>
      <c r="N41" s="1"/>
    </row>
    <row r="42" spans="1:14" s="20" customFormat="1" ht="19.5" customHeight="1">
      <c r="A42" s="217" t="s">
        <v>153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9"/>
      <c r="N42" s="1"/>
    </row>
    <row r="43" spans="1:14" s="20" customFormat="1" ht="19.5" customHeight="1">
      <c r="A43" s="217" t="s">
        <v>154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9"/>
      <c r="N43" s="1"/>
    </row>
    <row r="44" spans="1:14" ht="54" customHeight="1" thickBot="1">
      <c r="A44" s="211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3"/>
    </row>
    <row r="45" spans="1:14" ht="76.5" customHeight="1">
      <c r="A45" s="21"/>
      <c r="B45" s="22"/>
      <c r="C45" s="23"/>
      <c r="D45" s="22"/>
      <c r="E45" s="22"/>
      <c r="F45" s="22"/>
      <c r="G45" s="22"/>
      <c r="H45" s="22"/>
      <c r="I45" s="22"/>
      <c r="J45" s="22"/>
      <c r="K45" s="22"/>
      <c r="L45" s="22"/>
      <c r="M45" s="24"/>
    </row>
    <row r="46" spans="1:14" ht="76.5" customHeight="1">
      <c r="A46" s="21"/>
      <c r="B46" s="22"/>
      <c r="C46" s="23"/>
      <c r="D46" s="22"/>
      <c r="E46" s="22"/>
      <c r="F46" s="22"/>
      <c r="G46" s="22"/>
      <c r="H46" s="22"/>
      <c r="I46" s="22"/>
      <c r="J46" s="22"/>
      <c r="K46" s="22"/>
      <c r="L46" s="22"/>
      <c r="M46" s="24"/>
    </row>
    <row r="47" spans="1:14" ht="76.5" customHeight="1">
      <c r="A47" s="21"/>
      <c r="B47" s="22"/>
      <c r="C47" s="23"/>
      <c r="D47" s="22"/>
      <c r="E47" s="22"/>
      <c r="F47" s="22"/>
      <c r="G47" s="22"/>
      <c r="H47" s="22"/>
      <c r="I47" s="22"/>
      <c r="J47" s="22"/>
      <c r="K47" s="22"/>
      <c r="L47" s="22"/>
      <c r="M47" s="24"/>
    </row>
    <row r="48" spans="1:14" ht="13.5" customHeight="1">
      <c r="A48" s="25"/>
      <c r="M48" s="30"/>
    </row>
    <row r="49" spans="1:17" s="1" customFormat="1" ht="13.5" customHeight="1">
      <c r="A49" s="25"/>
      <c r="B49" s="2"/>
      <c r="C49" s="26"/>
      <c r="D49" s="27"/>
      <c r="E49" s="2"/>
      <c r="F49" s="2"/>
      <c r="G49" s="2"/>
      <c r="H49" s="28"/>
      <c r="I49" s="28"/>
      <c r="J49" s="28"/>
      <c r="K49" s="28"/>
      <c r="L49" s="28"/>
      <c r="M49" s="30"/>
      <c r="O49" s="2"/>
      <c r="P49" s="2"/>
      <c r="Q49" s="2"/>
    </row>
    <row r="50" spans="1:17" s="1" customFormat="1" ht="55.5" customHeight="1" thickBot="1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6"/>
      <c r="O50" s="2"/>
      <c r="P50" s="2"/>
      <c r="Q50" s="2"/>
    </row>
  </sheetData>
  <mergeCells count="36">
    <mergeCell ref="A1:M2"/>
    <mergeCell ref="A3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36:M36"/>
    <mergeCell ref="C11:G11"/>
    <mergeCell ref="C15:G15"/>
    <mergeCell ref="C18:G18"/>
    <mergeCell ref="C20:G20"/>
    <mergeCell ref="C22:G22"/>
    <mergeCell ref="C28:G28"/>
    <mergeCell ref="A31:F31"/>
    <mergeCell ref="A32:F32"/>
    <mergeCell ref="A33:M33"/>
    <mergeCell ref="A34:L34"/>
    <mergeCell ref="A35:M35"/>
    <mergeCell ref="A43:M43"/>
    <mergeCell ref="A44:M44"/>
    <mergeCell ref="A50:M50"/>
    <mergeCell ref="A37:M37"/>
    <mergeCell ref="A38:M38"/>
    <mergeCell ref="A39:M39"/>
    <mergeCell ref="A40:M40"/>
    <mergeCell ref="A41:M41"/>
    <mergeCell ref="A42:M42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1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葷</vt:lpstr>
      <vt:lpstr>菜單明細</vt:lpstr>
      <vt:lpstr>素</vt:lpstr>
      <vt:lpstr>素!Print_Area</vt:lpstr>
      <vt:lpstr>菜單明細!Print_Area</vt:lpstr>
      <vt:lpstr>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</cp:lastModifiedBy>
  <cp:lastPrinted>2023-01-06T00:49:13Z</cp:lastPrinted>
  <dcterms:created xsi:type="dcterms:W3CDTF">2018-02-09T02:55:08Z</dcterms:created>
  <dcterms:modified xsi:type="dcterms:W3CDTF">2023-01-06T00:55:29Z</dcterms:modified>
</cp:coreProperties>
</file>